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harolinvargasmelendez/Documents/Claude/Projects/Mas Que Finanzas-Redes (1)/Recursos_Descargables/"/>
    </mc:Choice>
  </mc:AlternateContent>
  <xr:revisionPtr revIDLastSave="0" documentId="13_ncr:1_{54413352-3F9E-1840-85AC-03D4EB544AFE}" xr6:coauthVersionLast="47" xr6:coauthVersionMax="47" xr10:uidLastSave="{00000000-0000-0000-0000-000000000000}"/>
  <bookViews>
    <workbookView xWindow="0" yWindow="660" windowWidth="30240" windowHeight="18980" tabRatio="500" activeTab="2" xr2:uid="{00000000-000D-0000-FFFF-FFFF00000000}"/>
  </bookViews>
  <sheets>
    <sheet name="🏠 Inicio" sheetId="1" r:id="rId1"/>
    <sheet name="🔢 Simulador" sheetId="2" r:id="rId2"/>
    <sheet name="📅 Cronograma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5" i="3" l="1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C6" i="3"/>
  <c r="D24" i="2"/>
  <c r="F20" i="2"/>
  <c r="F26" i="2" s="1"/>
  <c r="C14" i="2"/>
  <c r="C9" i="2"/>
  <c r="C10" i="2" s="1"/>
  <c r="E6" i="3" l="1"/>
  <c r="D6" i="3"/>
  <c r="D28" i="2"/>
  <c r="D27" i="2"/>
  <c r="D25" i="2"/>
  <c r="F6" i="3" l="1"/>
  <c r="H6" i="3" s="1"/>
  <c r="C7" i="3" l="1"/>
  <c r="D7" i="3" l="1"/>
  <c r="E7" i="3"/>
  <c r="F7" i="3" l="1"/>
  <c r="H7" i="3" s="1"/>
  <c r="C8" i="3" l="1"/>
  <c r="E8" i="3" l="1"/>
  <c r="D8" i="3"/>
  <c r="F8" i="3" l="1"/>
  <c r="H8" i="3" s="1"/>
  <c r="C9" i="3" l="1"/>
  <c r="D9" i="3" l="1"/>
  <c r="E9" i="3"/>
  <c r="F9" i="3" l="1"/>
  <c r="H9" i="3" s="1"/>
  <c r="C10" i="3" l="1"/>
  <c r="E10" i="3" l="1"/>
  <c r="D10" i="3"/>
  <c r="F10" i="3" l="1"/>
  <c r="H10" i="3" s="1"/>
  <c r="C11" i="3" l="1"/>
  <c r="D11" i="3" l="1"/>
  <c r="F11" i="3" s="1"/>
  <c r="H11" i="3" s="1"/>
  <c r="C12" i="3" s="1"/>
  <c r="E11" i="3"/>
  <c r="D12" i="3" l="1"/>
  <c r="F12" i="3" s="1"/>
  <c r="H12" i="3" s="1"/>
  <c r="C13" i="3" s="1"/>
  <c r="E12" i="3"/>
  <c r="D13" i="3" l="1"/>
  <c r="E13" i="3"/>
  <c r="F13" i="3" l="1"/>
  <c r="H13" i="3" s="1"/>
  <c r="C14" i="3" s="1"/>
  <c r="E14" i="3" l="1"/>
  <c r="D14" i="3"/>
  <c r="F14" i="3" s="1"/>
  <c r="H14" i="3" s="1"/>
  <c r="C15" i="3" s="1"/>
  <c r="D15" i="3" l="1"/>
  <c r="E15" i="3"/>
  <c r="F15" i="3" l="1"/>
  <c r="H15" i="3" s="1"/>
  <c r="C16" i="3" s="1"/>
  <c r="D16" i="3" l="1"/>
  <c r="E16" i="3"/>
  <c r="F16" i="3" l="1"/>
  <c r="H16" i="3" s="1"/>
  <c r="C17" i="3" s="1"/>
  <c r="D17" i="3" l="1"/>
  <c r="E17" i="3"/>
  <c r="F17" i="3" l="1"/>
  <c r="H17" i="3" s="1"/>
  <c r="C18" i="3" s="1"/>
  <c r="E18" i="3" l="1"/>
  <c r="D18" i="3"/>
  <c r="F18" i="3" s="1"/>
  <c r="H18" i="3" s="1"/>
  <c r="C19" i="3" s="1"/>
  <c r="D19" i="3" l="1"/>
  <c r="E19" i="3"/>
  <c r="F19" i="3" l="1"/>
  <c r="H19" i="3" s="1"/>
  <c r="C20" i="3" s="1"/>
  <c r="E20" i="3" l="1"/>
  <c r="D20" i="3"/>
  <c r="F20" i="3" s="1"/>
  <c r="H20" i="3" s="1"/>
  <c r="C21" i="3" s="1"/>
  <c r="D21" i="3" l="1"/>
  <c r="E21" i="3"/>
  <c r="F21" i="3" l="1"/>
  <c r="H21" i="3" s="1"/>
  <c r="C22" i="3" s="1"/>
  <c r="E22" i="3" l="1"/>
  <c r="D22" i="3"/>
  <c r="F22" i="3" s="1"/>
  <c r="H22" i="3" s="1"/>
  <c r="C23" i="3" s="1"/>
  <c r="D23" i="3" l="1"/>
  <c r="E23" i="3"/>
  <c r="F23" i="3" l="1"/>
  <c r="H23" i="3" s="1"/>
  <c r="C24" i="3" s="1"/>
  <c r="E24" i="3" l="1"/>
  <c r="D24" i="3"/>
  <c r="F24" i="3" s="1"/>
  <c r="H24" i="3" s="1"/>
  <c r="C25" i="3" s="1"/>
  <c r="D25" i="3" l="1"/>
  <c r="E25" i="3"/>
  <c r="F25" i="3" l="1"/>
  <c r="H25" i="3" s="1"/>
  <c r="C26" i="3" s="1"/>
  <c r="D26" i="3" l="1"/>
  <c r="F26" i="3" s="1"/>
  <c r="H26" i="3" s="1"/>
  <c r="C27" i="3" s="1"/>
  <c r="E26" i="3"/>
  <c r="D27" i="3" l="1"/>
  <c r="E27" i="3"/>
  <c r="F27" i="3" l="1"/>
  <c r="H27" i="3" s="1"/>
  <c r="C28" i="3" s="1"/>
  <c r="D28" i="3" l="1"/>
  <c r="E28" i="3"/>
  <c r="F28" i="3" l="1"/>
  <c r="H28" i="3" s="1"/>
  <c r="C29" i="3" s="1"/>
  <c r="D29" i="3" l="1"/>
  <c r="E29" i="3"/>
  <c r="F29" i="3" l="1"/>
  <c r="H29" i="3" s="1"/>
  <c r="C30" i="3" s="1"/>
  <c r="E30" i="3" l="1"/>
  <c r="D30" i="3"/>
  <c r="F30" i="3" s="1"/>
  <c r="H30" i="3" s="1"/>
  <c r="C31" i="3" s="1"/>
  <c r="D31" i="3" l="1"/>
  <c r="E31" i="3"/>
  <c r="F31" i="3" l="1"/>
  <c r="H31" i="3" s="1"/>
  <c r="C32" i="3" s="1"/>
  <c r="D32" i="3" l="1"/>
  <c r="E32" i="3"/>
  <c r="F32" i="3" l="1"/>
  <c r="H32" i="3" s="1"/>
  <c r="C33" i="3" s="1"/>
  <c r="D33" i="3" l="1"/>
  <c r="E33" i="3"/>
  <c r="F33" i="3" l="1"/>
  <c r="H33" i="3" s="1"/>
  <c r="C34" i="3" s="1"/>
  <c r="D34" i="3" l="1"/>
  <c r="E34" i="3"/>
  <c r="F34" i="3" l="1"/>
  <c r="H34" i="3" s="1"/>
  <c r="C35" i="3" s="1"/>
  <c r="D35" i="3" l="1"/>
  <c r="E35" i="3"/>
  <c r="F35" i="3" l="1"/>
  <c r="H35" i="3" s="1"/>
  <c r="C36" i="3" s="1"/>
  <c r="E36" i="3" l="1"/>
  <c r="D36" i="3"/>
  <c r="F36" i="3" s="1"/>
  <c r="H36" i="3" s="1"/>
  <c r="C37" i="3" s="1"/>
  <c r="D37" i="3" l="1"/>
  <c r="E37" i="3"/>
  <c r="F37" i="3" l="1"/>
  <c r="H37" i="3" s="1"/>
  <c r="C38" i="3" s="1"/>
  <c r="E38" i="3" l="1"/>
  <c r="D38" i="3"/>
  <c r="F38" i="3" s="1"/>
  <c r="H38" i="3" s="1"/>
  <c r="C39" i="3" s="1"/>
  <c r="D39" i="3" l="1"/>
  <c r="E39" i="3"/>
  <c r="F39" i="3" l="1"/>
  <c r="H39" i="3" s="1"/>
  <c r="C40" i="3" s="1"/>
  <c r="D40" i="3" l="1"/>
  <c r="E40" i="3"/>
  <c r="F40" i="3" l="1"/>
  <c r="H40" i="3" s="1"/>
  <c r="C41" i="3" s="1"/>
  <c r="D41" i="3" l="1"/>
  <c r="E41" i="3"/>
  <c r="F41" i="3" l="1"/>
  <c r="H41" i="3" s="1"/>
  <c r="C42" i="3" s="1"/>
  <c r="E42" i="3" l="1"/>
  <c r="D42" i="3"/>
  <c r="F42" i="3" s="1"/>
  <c r="H42" i="3" s="1"/>
  <c r="C43" i="3" s="1"/>
  <c r="D43" i="3" l="1"/>
  <c r="E43" i="3"/>
  <c r="F43" i="3" l="1"/>
  <c r="H43" i="3" s="1"/>
  <c r="C44" i="3" s="1"/>
  <c r="D44" i="3" l="1"/>
  <c r="E44" i="3"/>
  <c r="F44" i="3" l="1"/>
  <c r="H44" i="3" s="1"/>
  <c r="C45" i="3" s="1"/>
  <c r="D45" i="3" l="1"/>
  <c r="E45" i="3"/>
  <c r="F45" i="3" l="1"/>
  <c r="H45" i="3" s="1"/>
  <c r="C46" i="3" s="1"/>
  <c r="D46" i="3" l="1"/>
  <c r="E46" i="3"/>
  <c r="F46" i="3" l="1"/>
  <c r="H46" i="3" s="1"/>
  <c r="C47" i="3" s="1"/>
  <c r="D47" i="3" l="1"/>
  <c r="E47" i="3"/>
  <c r="F47" i="3" l="1"/>
  <c r="H47" i="3" s="1"/>
  <c r="C48" i="3" s="1"/>
  <c r="D48" i="3" l="1"/>
  <c r="E48" i="3"/>
  <c r="F48" i="3" l="1"/>
  <c r="H48" i="3" s="1"/>
  <c r="C49" i="3" s="1"/>
  <c r="D49" i="3" l="1"/>
  <c r="E49" i="3"/>
  <c r="F49" i="3" l="1"/>
  <c r="H49" i="3" s="1"/>
  <c r="C50" i="3" s="1"/>
  <c r="E50" i="3" l="1"/>
  <c r="D50" i="3"/>
  <c r="F50" i="3" s="1"/>
  <c r="H50" i="3" s="1"/>
  <c r="C51" i="3" s="1"/>
  <c r="D51" i="3" l="1"/>
  <c r="E51" i="3"/>
  <c r="F51" i="3" l="1"/>
  <c r="H51" i="3" s="1"/>
  <c r="C52" i="3" s="1"/>
  <c r="D52" i="3" l="1"/>
  <c r="E52" i="3"/>
  <c r="F52" i="3" l="1"/>
  <c r="H52" i="3" s="1"/>
  <c r="C53" i="3" s="1"/>
  <c r="D53" i="3" l="1"/>
  <c r="E53" i="3"/>
  <c r="F53" i="3" l="1"/>
  <c r="H53" i="3" s="1"/>
  <c r="C54" i="3" s="1"/>
  <c r="E54" i="3" l="1"/>
  <c r="D54" i="3"/>
  <c r="F54" i="3" s="1"/>
  <c r="H54" i="3" s="1"/>
  <c r="C55" i="3" s="1"/>
  <c r="D55" i="3" l="1"/>
  <c r="E55" i="3"/>
  <c r="F55" i="3" l="1"/>
  <c r="H55" i="3" s="1"/>
  <c r="C56" i="3" s="1"/>
  <c r="D56" i="3" l="1"/>
  <c r="E56" i="3"/>
  <c r="F56" i="3" l="1"/>
  <c r="H56" i="3" s="1"/>
  <c r="C57" i="3" s="1"/>
  <c r="D57" i="3" l="1"/>
  <c r="E57" i="3"/>
  <c r="F57" i="3" l="1"/>
  <c r="H57" i="3" s="1"/>
  <c r="C58" i="3" s="1"/>
  <c r="E58" i="3" l="1"/>
  <c r="D58" i="3"/>
  <c r="F58" i="3" s="1"/>
  <c r="H58" i="3" s="1"/>
  <c r="C59" i="3" s="1"/>
  <c r="D59" i="3" l="1"/>
  <c r="E59" i="3"/>
  <c r="F59" i="3" l="1"/>
  <c r="H59" i="3" s="1"/>
  <c r="C60" i="3" s="1"/>
  <c r="D60" i="3" l="1"/>
  <c r="E60" i="3"/>
  <c r="F60" i="3" l="1"/>
  <c r="H60" i="3" s="1"/>
  <c r="C61" i="3" s="1"/>
  <c r="D61" i="3" l="1"/>
  <c r="E61" i="3"/>
  <c r="F61" i="3" l="1"/>
  <c r="H61" i="3" s="1"/>
  <c r="C62" i="3" s="1"/>
  <c r="D62" i="3" l="1"/>
  <c r="E62" i="3"/>
  <c r="F62" i="3" l="1"/>
  <c r="H62" i="3" s="1"/>
  <c r="C63" i="3" s="1"/>
  <c r="D63" i="3" l="1"/>
  <c r="E63" i="3"/>
  <c r="F63" i="3" l="1"/>
  <c r="H63" i="3" s="1"/>
  <c r="C64" i="3" s="1"/>
  <c r="D64" i="3" l="1"/>
  <c r="E64" i="3"/>
  <c r="F64" i="3" l="1"/>
  <c r="H64" i="3" s="1"/>
  <c r="C65" i="3" s="1"/>
  <c r="D65" i="3" l="1"/>
  <c r="E65" i="3"/>
  <c r="F65" i="3" l="1"/>
  <c r="H65" i="3" s="1"/>
  <c r="C66" i="3" s="1"/>
  <c r="D66" i="3" l="1"/>
  <c r="E66" i="3"/>
  <c r="F66" i="3" l="1"/>
  <c r="H66" i="3" s="1"/>
  <c r="C67" i="3" s="1"/>
  <c r="D67" i="3" l="1"/>
  <c r="E67" i="3"/>
  <c r="F67" i="3" l="1"/>
  <c r="H67" i="3" s="1"/>
  <c r="C68" i="3" s="1"/>
  <c r="D68" i="3" l="1"/>
  <c r="E68" i="3"/>
  <c r="F68" i="3" l="1"/>
  <c r="H68" i="3" s="1"/>
  <c r="C69" i="3" s="1"/>
  <c r="D69" i="3" l="1"/>
  <c r="E69" i="3"/>
  <c r="F69" i="3" l="1"/>
  <c r="H69" i="3" s="1"/>
  <c r="C70" i="3" s="1"/>
  <c r="E70" i="3" l="1"/>
  <c r="D70" i="3"/>
  <c r="F70" i="3" s="1"/>
  <c r="H70" i="3" s="1"/>
  <c r="C71" i="3" s="1"/>
  <c r="D71" i="3" l="1"/>
  <c r="E71" i="3"/>
  <c r="F71" i="3" l="1"/>
  <c r="H71" i="3" s="1"/>
  <c r="C72" i="3" s="1"/>
  <c r="D72" i="3" l="1"/>
  <c r="E72" i="3"/>
  <c r="F72" i="3" l="1"/>
  <c r="H72" i="3" s="1"/>
  <c r="C73" i="3" s="1"/>
  <c r="D73" i="3" l="1"/>
  <c r="E73" i="3"/>
  <c r="F73" i="3" l="1"/>
  <c r="H73" i="3" s="1"/>
  <c r="C74" i="3" s="1"/>
  <c r="D74" i="3" l="1"/>
  <c r="E74" i="3"/>
  <c r="F74" i="3" l="1"/>
  <c r="H74" i="3" s="1"/>
  <c r="C75" i="3" s="1"/>
  <c r="D75" i="3" l="1"/>
  <c r="E75" i="3"/>
  <c r="F75" i="3" l="1"/>
  <c r="H75" i="3" s="1"/>
  <c r="C76" i="3" s="1"/>
  <c r="D76" i="3" l="1"/>
  <c r="E76" i="3"/>
  <c r="F76" i="3" l="1"/>
  <c r="H76" i="3" s="1"/>
  <c r="C77" i="3" s="1"/>
  <c r="D77" i="3" l="1"/>
  <c r="E77" i="3"/>
  <c r="F77" i="3" l="1"/>
  <c r="H77" i="3" s="1"/>
  <c r="C78" i="3" s="1"/>
  <c r="D78" i="3" l="1"/>
  <c r="E78" i="3"/>
  <c r="F78" i="3" l="1"/>
  <c r="H78" i="3" s="1"/>
  <c r="C79" i="3" s="1"/>
  <c r="D79" i="3" l="1"/>
  <c r="E79" i="3"/>
  <c r="F79" i="3" l="1"/>
  <c r="H79" i="3" s="1"/>
  <c r="C80" i="3" s="1"/>
  <c r="D80" i="3" l="1"/>
  <c r="E80" i="3"/>
  <c r="F80" i="3" l="1"/>
  <c r="H80" i="3" s="1"/>
  <c r="C81" i="3" s="1"/>
  <c r="D81" i="3" l="1"/>
  <c r="E81" i="3"/>
  <c r="F81" i="3" l="1"/>
  <c r="H81" i="3" s="1"/>
  <c r="C82" i="3" s="1"/>
  <c r="D82" i="3" l="1"/>
  <c r="E82" i="3"/>
  <c r="F82" i="3" l="1"/>
  <c r="H82" i="3" s="1"/>
  <c r="C83" i="3" s="1"/>
  <c r="D83" i="3" l="1"/>
  <c r="E83" i="3"/>
  <c r="F83" i="3" l="1"/>
  <c r="H83" i="3" s="1"/>
  <c r="C84" i="3" s="1"/>
  <c r="E84" i="3" l="1"/>
  <c r="D84" i="3"/>
  <c r="F84" i="3" s="1"/>
  <c r="H84" i="3" s="1"/>
  <c r="C85" i="3" s="1"/>
  <c r="D85" i="3" l="1"/>
  <c r="E85" i="3"/>
  <c r="F85" i="3" l="1"/>
  <c r="H85" i="3" s="1"/>
  <c r="C86" i="3" s="1"/>
  <c r="E86" i="3" l="1"/>
  <c r="D86" i="3"/>
  <c r="F86" i="3" s="1"/>
  <c r="H86" i="3" s="1"/>
  <c r="C87" i="3" s="1"/>
  <c r="D87" i="3" l="1"/>
  <c r="E87" i="3"/>
  <c r="F87" i="3" l="1"/>
  <c r="H87" i="3" s="1"/>
  <c r="C88" i="3" s="1"/>
  <c r="E88" i="3" l="1"/>
  <c r="D88" i="3"/>
  <c r="F88" i="3" s="1"/>
  <c r="H88" i="3" s="1"/>
  <c r="C89" i="3" s="1"/>
  <c r="D89" i="3" l="1"/>
  <c r="E89" i="3"/>
  <c r="F89" i="3" l="1"/>
  <c r="H89" i="3" s="1"/>
  <c r="C90" i="3" s="1"/>
  <c r="D90" i="3" l="1"/>
  <c r="E90" i="3"/>
  <c r="F90" i="3" l="1"/>
  <c r="H90" i="3" s="1"/>
  <c r="C91" i="3" s="1"/>
  <c r="D91" i="3" l="1"/>
  <c r="E91" i="3"/>
  <c r="F91" i="3" l="1"/>
  <c r="H91" i="3" s="1"/>
  <c r="C92" i="3" s="1"/>
  <c r="E92" i="3" l="1"/>
  <c r="D92" i="3"/>
  <c r="F92" i="3" s="1"/>
  <c r="H92" i="3" s="1"/>
  <c r="C93" i="3" s="1"/>
  <c r="D93" i="3" l="1"/>
  <c r="E93" i="3"/>
  <c r="F93" i="3" l="1"/>
  <c r="H93" i="3" s="1"/>
  <c r="C94" i="3" s="1"/>
  <c r="E94" i="3" l="1"/>
  <c r="D94" i="3"/>
  <c r="F94" i="3" s="1"/>
  <c r="H94" i="3" s="1"/>
  <c r="C95" i="3" s="1"/>
  <c r="D95" i="3" l="1"/>
  <c r="E95" i="3"/>
  <c r="F95" i="3" l="1"/>
  <c r="H95" i="3" s="1"/>
  <c r="C96" i="3" s="1"/>
  <c r="D96" i="3" l="1"/>
  <c r="E96" i="3"/>
  <c r="F96" i="3" l="1"/>
  <c r="H96" i="3" s="1"/>
  <c r="C97" i="3" s="1"/>
  <c r="D97" i="3" l="1"/>
  <c r="E97" i="3"/>
  <c r="F97" i="3" l="1"/>
  <c r="H97" i="3" s="1"/>
  <c r="C98" i="3" s="1"/>
  <c r="D98" i="3" l="1"/>
  <c r="E98" i="3"/>
  <c r="F98" i="3" l="1"/>
  <c r="H98" i="3" s="1"/>
  <c r="C99" i="3" s="1"/>
  <c r="D99" i="3" l="1"/>
  <c r="E99" i="3"/>
  <c r="F99" i="3" l="1"/>
  <c r="H99" i="3" s="1"/>
  <c r="C100" i="3" s="1"/>
  <c r="E100" i="3" l="1"/>
  <c r="D100" i="3"/>
  <c r="F100" i="3" s="1"/>
  <c r="H100" i="3" s="1"/>
  <c r="C101" i="3" s="1"/>
  <c r="D101" i="3" l="1"/>
  <c r="E101" i="3"/>
  <c r="F101" i="3" l="1"/>
  <c r="H101" i="3" s="1"/>
  <c r="C102" i="3" s="1"/>
  <c r="E102" i="3" l="1"/>
  <c r="D102" i="3"/>
  <c r="F102" i="3" s="1"/>
  <c r="H102" i="3" s="1"/>
  <c r="C103" i="3" s="1"/>
  <c r="D103" i="3" l="1"/>
  <c r="E103" i="3"/>
  <c r="F103" i="3" l="1"/>
  <c r="H103" i="3" s="1"/>
  <c r="C104" i="3" s="1"/>
  <c r="E104" i="3" l="1"/>
  <c r="D104" i="3"/>
  <c r="F104" i="3" s="1"/>
  <c r="H104" i="3" s="1"/>
  <c r="C105" i="3" s="1"/>
  <c r="D105" i="3" l="1"/>
  <c r="E105" i="3"/>
  <c r="F105" i="3" l="1"/>
  <c r="H105" i="3" s="1"/>
  <c r="C106" i="3" s="1"/>
  <c r="E106" i="3" l="1"/>
  <c r="D106" i="3"/>
  <c r="F106" i="3" s="1"/>
  <c r="H106" i="3" s="1"/>
  <c r="C107" i="3" s="1"/>
  <c r="D107" i="3" l="1"/>
  <c r="E107" i="3"/>
  <c r="F107" i="3" l="1"/>
  <c r="H107" i="3" s="1"/>
  <c r="C108" i="3" s="1"/>
  <c r="D108" i="3" l="1"/>
  <c r="E108" i="3"/>
  <c r="F108" i="3" l="1"/>
  <c r="H108" i="3" s="1"/>
  <c r="C109" i="3" s="1"/>
  <c r="D109" i="3" l="1"/>
  <c r="E109" i="3"/>
  <c r="F109" i="3" l="1"/>
  <c r="H109" i="3" s="1"/>
  <c r="C110" i="3" s="1"/>
  <c r="E110" i="3" l="1"/>
  <c r="D110" i="3"/>
  <c r="F110" i="3" s="1"/>
  <c r="H110" i="3" s="1"/>
  <c r="C111" i="3" s="1"/>
  <c r="D111" i="3" l="1"/>
  <c r="E111" i="3"/>
  <c r="F111" i="3" l="1"/>
  <c r="H111" i="3" s="1"/>
  <c r="C112" i="3" s="1"/>
  <c r="E112" i="3" l="1"/>
  <c r="D112" i="3"/>
  <c r="F112" i="3" s="1"/>
  <c r="H112" i="3" s="1"/>
  <c r="C113" i="3" s="1"/>
  <c r="D113" i="3" l="1"/>
  <c r="E113" i="3"/>
  <c r="F113" i="3" l="1"/>
  <c r="H113" i="3" s="1"/>
  <c r="C114" i="3" s="1"/>
  <c r="E114" i="3" l="1"/>
  <c r="D114" i="3"/>
  <c r="F114" i="3" l="1"/>
  <c r="H114" i="3" s="1"/>
  <c r="C115" i="3" s="1"/>
  <c r="D115" i="3" s="1"/>
  <c r="E115" i="3"/>
  <c r="F115" i="3" l="1"/>
  <c r="H115" i="3" s="1"/>
  <c r="C116" i="3" s="1"/>
  <c r="E116" i="3" l="1"/>
  <c r="D116" i="3"/>
  <c r="F116" i="3" l="1"/>
  <c r="H116" i="3" s="1"/>
  <c r="C117" i="3" s="1"/>
  <c r="D117" i="3"/>
  <c r="E117" i="3"/>
  <c r="F117" i="3" l="1"/>
  <c r="H117" i="3" s="1"/>
  <c r="C118" i="3" s="1"/>
  <c r="E118" i="3" l="1"/>
  <c r="D118" i="3"/>
  <c r="F118" i="3" s="1"/>
  <c r="H118" i="3" s="1"/>
  <c r="C119" i="3" s="1"/>
  <c r="D119" i="3" l="1"/>
  <c r="E119" i="3"/>
  <c r="F119" i="3" l="1"/>
  <c r="H119" i="3" s="1"/>
  <c r="C120" i="3" s="1"/>
  <c r="E120" i="3" l="1"/>
  <c r="D120" i="3"/>
  <c r="F120" i="3" s="1"/>
  <c r="H120" i="3" s="1"/>
  <c r="C121" i="3" s="1"/>
  <c r="D121" i="3" l="1"/>
  <c r="E121" i="3"/>
  <c r="F121" i="3" l="1"/>
  <c r="H121" i="3" s="1"/>
  <c r="C122" i="3" s="1"/>
  <c r="E122" i="3" l="1"/>
  <c r="D122" i="3"/>
  <c r="F122" i="3" s="1"/>
  <c r="H122" i="3"/>
  <c r="C123" i="3" s="1"/>
  <c r="D123" i="3" l="1"/>
  <c r="E123" i="3"/>
  <c r="F123" i="3" l="1"/>
  <c r="H123" i="3" s="1"/>
  <c r="C124" i="3" s="1"/>
  <c r="E124" i="3" l="1"/>
  <c r="D124" i="3"/>
  <c r="F124" i="3" s="1"/>
  <c r="H124" i="3"/>
  <c r="C125" i="3" s="1"/>
  <c r="D125" i="3" l="1"/>
  <c r="E125" i="3"/>
  <c r="F125" i="3" l="1"/>
  <c r="H125" i="3" s="1"/>
  <c r="C126" i="3" s="1"/>
  <c r="E126" i="3" l="1"/>
  <c r="D126" i="3"/>
  <c r="F126" i="3" s="1"/>
  <c r="H126" i="3" s="1"/>
  <c r="C127" i="3" s="1"/>
  <c r="D127" i="3" l="1"/>
  <c r="E127" i="3"/>
  <c r="F127" i="3" l="1"/>
  <c r="H127" i="3" s="1"/>
  <c r="C128" i="3" s="1"/>
  <c r="E128" i="3" l="1"/>
  <c r="D128" i="3"/>
  <c r="F128" i="3" l="1"/>
  <c r="H128" i="3" s="1"/>
  <c r="C129" i="3" s="1"/>
  <c r="D129" i="3" s="1"/>
  <c r="E129" i="3" l="1"/>
  <c r="F129" i="3"/>
  <c r="H129" i="3" s="1"/>
  <c r="C130" i="3" s="1"/>
  <c r="E130" i="3" l="1"/>
  <c r="D130" i="3"/>
  <c r="F130" i="3" l="1"/>
  <c r="H130" i="3" s="1"/>
  <c r="C131" i="3" s="1"/>
  <c r="D131" i="3" l="1"/>
  <c r="E131" i="3"/>
  <c r="F131" i="3" l="1"/>
  <c r="H131" i="3" s="1"/>
  <c r="C132" i="3" s="1"/>
  <c r="D132" i="3" l="1"/>
  <c r="E132" i="3"/>
  <c r="F132" i="3" l="1"/>
  <c r="H132" i="3" s="1"/>
  <c r="C133" i="3" s="1"/>
  <c r="D133" i="3" l="1"/>
  <c r="E133" i="3"/>
  <c r="F133" i="3" l="1"/>
  <c r="H133" i="3" s="1"/>
  <c r="C134" i="3" s="1"/>
  <c r="E134" i="3" l="1"/>
  <c r="D134" i="3"/>
  <c r="F134" i="3" s="1"/>
  <c r="H134" i="3" s="1"/>
  <c r="C135" i="3" s="1"/>
  <c r="D135" i="3" l="1"/>
  <c r="E135" i="3"/>
  <c r="F135" i="3" l="1"/>
  <c r="H135" i="3" s="1"/>
  <c r="C136" i="3" s="1"/>
  <c r="E136" i="3" l="1"/>
  <c r="D136" i="3"/>
  <c r="F136" i="3" s="1"/>
  <c r="H136" i="3" s="1"/>
  <c r="C137" i="3" s="1"/>
  <c r="E137" i="3" l="1"/>
  <c r="D137" i="3"/>
  <c r="F137" i="3" s="1"/>
  <c r="H137" i="3" s="1"/>
  <c r="C138" i="3" s="1"/>
  <c r="D138" i="3" l="1"/>
  <c r="E138" i="3"/>
  <c r="F138" i="3" l="1"/>
  <c r="H138" i="3" s="1"/>
  <c r="C139" i="3" s="1"/>
  <c r="E139" i="3" l="1"/>
  <c r="D139" i="3"/>
  <c r="F139" i="3" s="1"/>
  <c r="H139" i="3" s="1"/>
  <c r="C140" i="3" s="1"/>
  <c r="D140" i="3" l="1"/>
  <c r="E140" i="3"/>
  <c r="F140" i="3" l="1"/>
  <c r="H140" i="3" s="1"/>
  <c r="C141" i="3" s="1"/>
  <c r="D141" i="3" l="1"/>
  <c r="E141" i="3"/>
  <c r="F141" i="3" l="1"/>
  <c r="H141" i="3" s="1"/>
  <c r="C142" i="3" s="1"/>
  <c r="E142" i="3" l="1"/>
  <c r="D142" i="3"/>
  <c r="F142" i="3" s="1"/>
  <c r="H142" i="3" s="1"/>
  <c r="C143" i="3" s="1"/>
  <c r="D143" i="3" l="1"/>
  <c r="E143" i="3"/>
  <c r="F143" i="3" l="1"/>
  <c r="H143" i="3" s="1"/>
  <c r="C144" i="3" s="1"/>
  <c r="D144" i="3" l="1"/>
  <c r="E144" i="3"/>
  <c r="F144" i="3" l="1"/>
  <c r="H144" i="3" s="1"/>
  <c r="C145" i="3" s="1"/>
  <c r="E145" i="3" l="1"/>
  <c r="D145" i="3"/>
  <c r="F145" i="3" l="1"/>
  <c r="H145" i="3" s="1"/>
  <c r="C146" i="3" s="1"/>
  <c r="E146" i="3"/>
  <c r="D146" i="3"/>
  <c r="F146" i="3" s="1"/>
  <c r="H146" i="3" s="1"/>
  <c r="C147" i="3" s="1"/>
  <c r="E147" i="3" l="1"/>
  <c r="D147" i="3"/>
  <c r="F147" i="3" s="1"/>
  <c r="H147" i="3" s="1"/>
  <c r="C148" i="3" s="1"/>
  <c r="D148" i="3" l="1"/>
  <c r="E148" i="3"/>
  <c r="F148" i="3" l="1"/>
  <c r="H148" i="3" s="1"/>
  <c r="C149" i="3" s="1"/>
  <c r="E149" i="3" l="1"/>
  <c r="D149" i="3"/>
  <c r="F149" i="3" s="1"/>
  <c r="H149" i="3" s="1"/>
  <c r="C150" i="3" s="1"/>
  <c r="D150" i="3" l="1"/>
  <c r="E150" i="3"/>
  <c r="F150" i="3" l="1"/>
  <c r="H150" i="3" s="1"/>
  <c r="C151" i="3" s="1"/>
  <c r="E151" i="3" l="1"/>
  <c r="D151" i="3"/>
  <c r="F151" i="3" s="1"/>
  <c r="H151" i="3" s="1"/>
  <c r="C152" i="3" s="1"/>
  <c r="E152" i="3" l="1"/>
  <c r="D152" i="3"/>
  <c r="F152" i="3" s="1"/>
  <c r="H152" i="3" s="1"/>
  <c r="C153" i="3" s="1"/>
  <c r="E153" i="3" l="1"/>
  <c r="D153" i="3"/>
  <c r="F153" i="3" l="1"/>
  <c r="H153" i="3" s="1"/>
  <c r="C154" i="3" s="1"/>
  <c r="E154" i="3"/>
  <c r="D154" i="3"/>
  <c r="F154" i="3" l="1"/>
  <c r="H154" i="3" s="1"/>
  <c r="C155" i="3" s="1"/>
  <c r="E155" i="3" s="1"/>
  <c r="D155" i="3"/>
  <c r="F155" i="3" l="1"/>
  <c r="H155" i="3" s="1"/>
  <c r="C156" i="3" s="1"/>
  <c r="D156" i="3"/>
  <c r="E156" i="3"/>
  <c r="F156" i="3" l="1"/>
  <c r="H156" i="3" s="1"/>
  <c r="C157" i="3" s="1"/>
  <c r="E157" i="3" l="1"/>
  <c r="D157" i="3"/>
  <c r="F157" i="3" l="1"/>
  <c r="H157" i="3" s="1"/>
  <c r="C158" i="3" s="1"/>
  <c r="D158" i="3" s="1"/>
  <c r="E158" i="3" l="1"/>
  <c r="F158" i="3"/>
  <c r="H158" i="3" s="1"/>
  <c r="C159" i="3" s="1"/>
  <c r="D159" i="3" l="1"/>
  <c r="E159" i="3"/>
  <c r="F159" i="3" l="1"/>
  <c r="H159" i="3" s="1"/>
  <c r="C160" i="3" s="1"/>
  <c r="E160" i="3" l="1"/>
  <c r="D160" i="3"/>
  <c r="F160" i="3" l="1"/>
  <c r="H160" i="3" s="1"/>
  <c r="C161" i="3" s="1"/>
  <c r="E161" i="3" s="1"/>
  <c r="D161" i="3" l="1"/>
  <c r="F161" i="3" s="1"/>
  <c r="H161" i="3" s="1"/>
  <c r="C162" i="3" s="1"/>
  <c r="E162" i="3" s="1"/>
  <c r="D162" i="3"/>
  <c r="F162" i="3" l="1"/>
  <c r="H162" i="3" s="1"/>
  <c r="C163" i="3" s="1"/>
  <c r="E163" i="3" s="1"/>
  <c r="D163" i="3"/>
  <c r="F163" i="3" l="1"/>
  <c r="H163" i="3" s="1"/>
  <c r="C164" i="3" s="1"/>
  <c r="D164" i="3"/>
  <c r="E164" i="3"/>
  <c r="F164" i="3" l="1"/>
  <c r="H164" i="3" s="1"/>
  <c r="C165" i="3" s="1"/>
  <c r="E165" i="3" l="1"/>
  <c r="D165" i="3"/>
  <c r="F165" i="3" s="1"/>
  <c r="H165" i="3" s="1"/>
  <c r="C166" i="3" s="1"/>
  <c r="E166" i="3" l="1"/>
  <c r="D166" i="3"/>
  <c r="F166" i="3" s="1"/>
  <c r="H166" i="3" s="1"/>
  <c r="C167" i="3" s="1"/>
  <c r="E167" i="3" l="1"/>
  <c r="D167" i="3"/>
  <c r="F167" i="3" s="1"/>
  <c r="H167" i="3" s="1"/>
  <c r="C168" i="3" s="1"/>
  <c r="D168" i="3" l="1"/>
  <c r="E168" i="3"/>
  <c r="F168" i="3" l="1"/>
  <c r="H168" i="3" s="1"/>
  <c r="C169" i="3" s="1"/>
  <c r="E169" i="3" l="1"/>
  <c r="D169" i="3"/>
  <c r="F169" i="3" s="1"/>
  <c r="H169" i="3" s="1"/>
  <c r="C170" i="3" s="1"/>
  <c r="E170" i="3" l="1"/>
  <c r="D170" i="3"/>
  <c r="F170" i="3" s="1"/>
  <c r="H170" i="3"/>
  <c r="C171" i="3" s="1"/>
  <c r="E171" i="3" l="1"/>
  <c r="D171" i="3"/>
  <c r="F171" i="3" s="1"/>
  <c r="H171" i="3" s="1"/>
  <c r="C172" i="3" s="1"/>
  <c r="D172" i="3" l="1"/>
  <c r="E172" i="3"/>
  <c r="F172" i="3" l="1"/>
  <c r="H172" i="3" s="1"/>
  <c r="C173" i="3" s="1"/>
  <c r="E173" i="3" l="1"/>
  <c r="D173" i="3"/>
  <c r="F173" i="3" s="1"/>
  <c r="H173" i="3" s="1"/>
  <c r="C174" i="3" s="1"/>
  <c r="D174" i="3" l="1"/>
  <c r="E174" i="3"/>
  <c r="F174" i="3" l="1"/>
  <c r="H174" i="3" s="1"/>
  <c r="C175" i="3" s="1"/>
  <c r="D175" i="3" l="1"/>
  <c r="E175" i="3"/>
  <c r="F175" i="3" l="1"/>
  <c r="H175" i="3" s="1"/>
  <c r="C176" i="3" s="1"/>
  <c r="E176" i="3" l="1"/>
  <c r="D176" i="3"/>
  <c r="F176" i="3" s="1"/>
  <c r="H176" i="3" s="1"/>
  <c r="C177" i="3" s="1"/>
  <c r="E177" i="3" l="1"/>
  <c r="D177" i="3"/>
  <c r="F177" i="3" l="1"/>
  <c r="H177" i="3" s="1"/>
  <c r="C178" i="3" s="1"/>
  <c r="E178" i="3" l="1"/>
  <c r="D178" i="3"/>
  <c r="F178" i="3" s="1"/>
  <c r="H178" i="3" s="1"/>
  <c r="C179" i="3" s="1"/>
  <c r="E179" i="3" l="1"/>
  <c r="D179" i="3"/>
  <c r="F179" i="3" s="1"/>
  <c r="H179" i="3" s="1"/>
  <c r="C180" i="3" s="1"/>
  <c r="D180" i="3" l="1"/>
  <c r="E180" i="3"/>
  <c r="F180" i="3" l="1"/>
  <c r="H180" i="3" s="1"/>
  <c r="C181" i="3" s="1"/>
  <c r="E181" i="3" l="1"/>
  <c r="D181" i="3"/>
  <c r="F181" i="3" s="1"/>
  <c r="H181" i="3" s="1"/>
  <c r="C182" i="3" s="1"/>
  <c r="E182" i="3" l="1"/>
  <c r="D182" i="3"/>
  <c r="F182" i="3" s="1"/>
  <c r="H182" i="3" s="1"/>
  <c r="C183" i="3" s="1"/>
  <c r="E183" i="3" l="1"/>
  <c r="D183" i="3"/>
  <c r="F183" i="3" s="1"/>
  <c r="H183" i="3" s="1"/>
  <c r="C184" i="3" s="1"/>
  <c r="E184" i="3" l="1"/>
  <c r="D184" i="3"/>
  <c r="F184" i="3" s="1"/>
  <c r="H184" i="3" s="1"/>
  <c r="C185" i="3" s="1"/>
  <c r="E185" i="3" l="1"/>
  <c r="D185" i="3"/>
  <c r="F185" i="3" l="1"/>
  <c r="H185" i="3" s="1"/>
  <c r="C186" i="3" s="1"/>
  <c r="D186" i="3" s="1"/>
  <c r="E186" i="3"/>
  <c r="F186" i="3" l="1"/>
  <c r="H186" i="3" s="1"/>
  <c r="C187" i="3" s="1"/>
  <c r="D187" i="3" l="1"/>
  <c r="E187" i="3"/>
  <c r="F187" i="3" l="1"/>
  <c r="H187" i="3" s="1"/>
  <c r="C188" i="3" s="1"/>
  <c r="D188" i="3" l="1"/>
  <c r="E188" i="3"/>
  <c r="F188" i="3" l="1"/>
  <c r="H188" i="3" s="1"/>
  <c r="C189" i="3" s="1"/>
  <c r="D189" i="3" l="1"/>
  <c r="E189" i="3"/>
  <c r="F189" i="3" l="1"/>
  <c r="H189" i="3" s="1"/>
  <c r="C190" i="3" s="1"/>
  <c r="D190" i="3" l="1"/>
  <c r="E190" i="3"/>
  <c r="F190" i="3" l="1"/>
  <c r="H190" i="3" s="1"/>
  <c r="C191" i="3" s="1"/>
  <c r="E191" i="3" l="1"/>
  <c r="D191" i="3"/>
  <c r="F191" i="3" s="1"/>
  <c r="H191" i="3" s="1"/>
  <c r="C192" i="3" s="1"/>
  <c r="D192" i="3" l="1"/>
  <c r="E192" i="3"/>
  <c r="F192" i="3" l="1"/>
  <c r="H192" i="3" s="1"/>
  <c r="C193" i="3" s="1"/>
  <c r="E193" i="3" l="1"/>
  <c r="D193" i="3"/>
  <c r="F193" i="3" s="1"/>
  <c r="H193" i="3" s="1"/>
  <c r="C194" i="3" s="1"/>
  <c r="E194" i="3" l="1"/>
  <c r="D194" i="3"/>
  <c r="F194" i="3" s="1"/>
  <c r="H194" i="3" s="1"/>
  <c r="C195" i="3" s="1"/>
  <c r="D195" i="3" l="1"/>
  <c r="E195" i="3"/>
  <c r="F195" i="3" l="1"/>
  <c r="H195" i="3" s="1"/>
  <c r="C196" i="3" s="1"/>
  <c r="D196" i="3" l="1"/>
  <c r="E196" i="3"/>
  <c r="F196" i="3" l="1"/>
  <c r="H196" i="3" s="1"/>
  <c r="C197" i="3" s="1"/>
  <c r="E197" i="3" l="1"/>
  <c r="D197" i="3"/>
  <c r="F197" i="3" s="1"/>
  <c r="H197" i="3" s="1"/>
  <c r="C198" i="3" s="1"/>
  <c r="E198" i="3" l="1"/>
  <c r="D198" i="3"/>
  <c r="F198" i="3" s="1"/>
  <c r="H198" i="3" s="1"/>
  <c r="C199" i="3" s="1"/>
  <c r="E199" i="3" l="1"/>
  <c r="D199" i="3"/>
  <c r="F199" i="3" s="1"/>
  <c r="H199" i="3" s="1"/>
  <c r="C200" i="3" s="1"/>
  <c r="E200" i="3" l="1"/>
  <c r="D200" i="3"/>
  <c r="F200" i="3" s="1"/>
  <c r="H200" i="3" s="1"/>
  <c r="C201" i="3" s="1"/>
  <c r="E201" i="3" l="1"/>
  <c r="D201" i="3"/>
  <c r="F201" i="3" s="1"/>
  <c r="H201" i="3" s="1"/>
  <c r="C202" i="3" s="1"/>
  <c r="D202" i="3" l="1"/>
  <c r="E202" i="3"/>
  <c r="F202" i="3" l="1"/>
  <c r="H202" i="3" s="1"/>
  <c r="C203" i="3" s="1"/>
  <c r="E203" i="3" l="1"/>
  <c r="D203" i="3"/>
  <c r="F203" i="3" s="1"/>
  <c r="H203" i="3" s="1"/>
  <c r="C204" i="3" s="1"/>
  <c r="D204" i="3" l="1"/>
  <c r="E204" i="3"/>
  <c r="F204" i="3" l="1"/>
  <c r="H204" i="3" s="1"/>
  <c r="C205" i="3" s="1"/>
  <c r="D205" i="3" l="1"/>
  <c r="E205" i="3"/>
  <c r="F205" i="3" l="1"/>
  <c r="H205" i="3" s="1"/>
  <c r="C206" i="3" s="1"/>
  <c r="D206" i="3" l="1"/>
  <c r="E206" i="3"/>
  <c r="F206" i="3" l="1"/>
  <c r="H206" i="3" s="1"/>
  <c r="C207" i="3" s="1"/>
  <c r="E207" i="3" l="1"/>
  <c r="D207" i="3"/>
  <c r="F207" i="3" s="1"/>
  <c r="H207" i="3" s="1"/>
  <c r="C208" i="3" s="1"/>
  <c r="D208" i="3" l="1"/>
  <c r="E208" i="3"/>
  <c r="F208" i="3" l="1"/>
  <c r="H208" i="3" s="1"/>
  <c r="C209" i="3" s="1"/>
  <c r="E209" i="3" l="1"/>
  <c r="D209" i="3"/>
  <c r="F209" i="3" s="1"/>
  <c r="H209" i="3" s="1"/>
  <c r="C210" i="3" s="1"/>
  <c r="E210" i="3" l="1"/>
  <c r="D210" i="3"/>
  <c r="F210" i="3" s="1"/>
  <c r="H210" i="3" s="1"/>
  <c r="C211" i="3" s="1"/>
  <c r="D211" i="3" l="1"/>
  <c r="E211" i="3"/>
  <c r="F211" i="3" l="1"/>
  <c r="H211" i="3" s="1"/>
  <c r="C212" i="3" s="1"/>
  <c r="D212" i="3" l="1"/>
  <c r="E212" i="3"/>
  <c r="F212" i="3" l="1"/>
  <c r="H212" i="3" s="1"/>
  <c r="C213" i="3" s="1"/>
  <c r="E213" i="3" l="1"/>
  <c r="D213" i="3"/>
  <c r="F213" i="3" s="1"/>
  <c r="H213" i="3" s="1"/>
  <c r="C214" i="3" s="1"/>
  <c r="E214" i="3" l="1"/>
  <c r="D214" i="3"/>
  <c r="F214" i="3" s="1"/>
  <c r="H214" i="3" s="1"/>
  <c r="C215" i="3" s="1"/>
  <c r="E215" i="3" l="1"/>
  <c r="D215" i="3"/>
  <c r="F215" i="3" s="1"/>
  <c r="H215" i="3" s="1"/>
  <c r="C216" i="3" s="1"/>
  <c r="E216" i="3" l="1"/>
  <c r="D216" i="3"/>
  <c r="F216" i="3" s="1"/>
  <c r="H216" i="3" s="1"/>
  <c r="C217" i="3" s="1"/>
  <c r="E217" i="3" l="1"/>
  <c r="D217" i="3"/>
  <c r="F217" i="3" s="1"/>
  <c r="H217" i="3" s="1"/>
  <c r="C218" i="3" s="1"/>
  <c r="E218" i="3" l="1"/>
  <c r="D218" i="3"/>
  <c r="F218" i="3" s="1"/>
  <c r="H218" i="3" s="1"/>
  <c r="C219" i="3" s="1"/>
  <c r="E219" i="3" l="1"/>
  <c r="D219" i="3"/>
  <c r="F219" i="3" s="1"/>
  <c r="H219" i="3" s="1"/>
  <c r="C220" i="3" s="1"/>
  <c r="D220" i="3" l="1"/>
  <c r="E220" i="3"/>
  <c r="F220" i="3" l="1"/>
  <c r="H220" i="3" s="1"/>
  <c r="C221" i="3" s="1"/>
  <c r="E221" i="3" l="1"/>
  <c r="D221" i="3"/>
  <c r="F221" i="3" s="1"/>
  <c r="H221" i="3" s="1"/>
  <c r="C222" i="3" s="1"/>
  <c r="E222" i="3" l="1"/>
  <c r="D222" i="3"/>
  <c r="F222" i="3" s="1"/>
  <c r="H222" i="3" s="1"/>
  <c r="C223" i="3" s="1"/>
  <c r="D223" i="3" l="1"/>
  <c r="E223" i="3"/>
  <c r="F223" i="3" l="1"/>
  <c r="H223" i="3" s="1"/>
  <c r="C224" i="3" s="1"/>
  <c r="D224" i="3" l="1"/>
  <c r="E224" i="3"/>
  <c r="F224" i="3" l="1"/>
  <c r="H224" i="3" s="1"/>
  <c r="C225" i="3" s="1"/>
  <c r="E225" i="3" l="1"/>
  <c r="D225" i="3"/>
  <c r="F225" i="3" s="1"/>
  <c r="H225" i="3" s="1"/>
  <c r="C226" i="3" s="1"/>
  <c r="E226" i="3" l="1"/>
  <c r="D226" i="3"/>
  <c r="F226" i="3" s="1"/>
  <c r="H226" i="3"/>
  <c r="C227" i="3" s="1"/>
  <c r="D227" i="3" l="1"/>
  <c r="E227" i="3"/>
  <c r="F227" i="3" l="1"/>
  <c r="H227" i="3" s="1"/>
  <c r="C228" i="3" s="1"/>
  <c r="D228" i="3" l="1"/>
  <c r="E228" i="3"/>
  <c r="F228" i="3" l="1"/>
  <c r="H228" i="3" s="1"/>
  <c r="C229" i="3" s="1"/>
  <c r="E229" i="3" l="1"/>
  <c r="D229" i="3"/>
  <c r="F229" i="3" s="1"/>
  <c r="H229" i="3" s="1"/>
  <c r="C230" i="3" s="1"/>
  <c r="E230" i="3" l="1"/>
  <c r="D230" i="3"/>
  <c r="F230" i="3" s="1"/>
  <c r="H230" i="3" s="1"/>
  <c r="C231" i="3" s="1"/>
  <c r="E231" i="3" l="1"/>
  <c r="D231" i="3"/>
  <c r="F231" i="3" s="1"/>
  <c r="H231" i="3" s="1"/>
  <c r="C232" i="3" s="1"/>
  <c r="E232" i="3" l="1"/>
  <c r="D232" i="3"/>
  <c r="F232" i="3" s="1"/>
  <c r="H232" i="3"/>
  <c r="C233" i="3" s="1"/>
  <c r="E233" i="3" l="1"/>
  <c r="D233" i="3"/>
  <c r="F233" i="3" s="1"/>
  <c r="H233" i="3" s="1"/>
  <c r="C234" i="3" s="1"/>
  <c r="E234" i="3" l="1"/>
  <c r="D234" i="3"/>
  <c r="F234" i="3" l="1"/>
  <c r="H234" i="3" s="1"/>
  <c r="C235" i="3" s="1"/>
  <c r="E235" i="3"/>
  <c r="D235" i="3"/>
  <c r="F235" i="3" l="1"/>
  <c r="H235" i="3" s="1"/>
  <c r="C236" i="3" s="1"/>
  <c r="D236" i="3"/>
  <c r="E236" i="3"/>
  <c r="F236" i="3" l="1"/>
  <c r="H236" i="3" s="1"/>
  <c r="C237" i="3" s="1"/>
  <c r="E237" i="3" l="1"/>
  <c r="D237" i="3"/>
  <c r="F237" i="3" s="1"/>
  <c r="H237" i="3" s="1"/>
  <c r="C238" i="3" s="1"/>
  <c r="E238" i="3" l="1"/>
  <c r="D238" i="3"/>
  <c r="F238" i="3" s="1"/>
  <c r="H238" i="3" s="1"/>
  <c r="C239" i="3" s="1"/>
  <c r="D239" i="3" l="1"/>
  <c r="E239" i="3"/>
  <c r="F239" i="3" l="1"/>
  <c r="H239" i="3" s="1"/>
  <c r="C240" i="3" s="1"/>
  <c r="E240" i="3" l="1"/>
  <c r="D240" i="3"/>
  <c r="F240" i="3" s="1"/>
  <c r="H240" i="3" s="1"/>
  <c r="C241" i="3" s="1"/>
  <c r="E241" i="3" l="1"/>
  <c r="D241" i="3"/>
  <c r="F241" i="3" s="1"/>
  <c r="H241" i="3" s="1"/>
  <c r="C242" i="3" s="1"/>
  <c r="E242" i="3" l="1"/>
  <c r="D242" i="3"/>
  <c r="F242" i="3" s="1"/>
  <c r="H242" i="3"/>
  <c r="C243" i="3" s="1"/>
  <c r="E243" i="3" l="1"/>
  <c r="D243" i="3"/>
  <c r="F243" i="3" s="1"/>
  <c r="H243" i="3" s="1"/>
  <c r="C244" i="3" s="1"/>
  <c r="D244" i="3" l="1"/>
  <c r="E244" i="3"/>
  <c r="F244" i="3" l="1"/>
  <c r="H244" i="3" s="1"/>
  <c r="C245" i="3" s="1"/>
  <c r="E245" i="3" l="1"/>
  <c r="D245" i="3"/>
  <c r="F245" i="3" s="1"/>
  <c r="H245" i="3" s="1"/>
  <c r="C246" i="3" s="1"/>
  <c r="D246" i="3" l="1"/>
  <c r="E246" i="3"/>
  <c r="F246" i="3" l="1"/>
  <c r="H246" i="3" s="1"/>
  <c r="C247" i="3" s="1"/>
  <c r="E247" i="3" l="1"/>
  <c r="D247" i="3"/>
  <c r="F247" i="3" s="1"/>
  <c r="H247" i="3" s="1"/>
  <c r="C248" i="3" s="1"/>
  <c r="E248" i="3" l="1"/>
  <c r="D248" i="3"/>
  <c r="F248" i="3" s="1"/>
  <c r="H248" i="3" s="1"/>
  <c r="C249" i="3" s="1"/>
  <c r="E249" i="3" l="1"/>
  <c r="D249" i="3"/>
  <c r="F249" i="3" s="1"/>
  <c r="H249" i="3" s="1"/>
  <c r="C250" i="3" s="1"/>
  <c r="E250" i="3" l="1"/>
  <c r="D250" i="3"/>
  <c r="F250" i="3" s="1"/>
  <c r="H250" i="3" s="1"/>
  <c r="C251" i="3" s="1"/>
  <c r="E251" i="3" l="1"/>
  <c r="D251" i="3"/>
  <c r="F251" i="3" s="1"/>
  <c r="H251" i="3" s="1"/>
  <c r="C252" i="3" s="1"/>
  <c r="D252" i="3" l="1"/>
  <c r="E252" i="3"/>
  <c r="F252" i="3" l="1"/>
  <c r="H252" i="3" s="1"/>
  <c r="C253" i="3" s="1"/>
  <c r="E253" i="3" l="1"/>
  <c r="D253" i="3"/>
  <c r="F253" i="3" s="1"/>
  <c r="H253" i="3" s="1"/>
  <c r="C254" i="3" s="1"/>
  <c r="D254" i="3" l="1"/>
  <c r="E254" i="3"/>
  <c r="F254" i="3" l="1"/>
  <c r="H254" i="3" s="1"/>
  <c r="C255" i="3" s="1"/>
  <c r="E255" i="3" l="1"/>
  <c r="D255" i="3"/>
  <c r="F255" i="3" s="1"/>
  <c r="H255" i="3" s="1"/>
  <c r="C256" i="3" s="1"/>
  <c r="E256" i="3" l="1"/>
  <c r="D256" i="3"/>
  <c r="F256" i="3" s="1"/>
  <c r="H256" i="3" s="1"/>
  <c r="C257" i="3" s="1"/>
  <c r="E257" i="3" l="1"/>
  <c r="D257" i="3"/>
  <c r="F257" i="3" s="1"/>
  <c r="H257" i="3" s="1"/>
  <c r="C258" i="3" s="1"/>
  <c r="E258" i="3" l="1"/>
  <c r="D258" i="3"/>
  <c r="F258" i="3" s="1"/>
  <c r="H258" i="3" s="1"/>
  <c r="C259" i="3" s="1"/>
  <c r="E259" i="3" l="1"/>
  <c r="D259" i="3"/>
  <c r="F259" i="3" s="1"/>
  <c r="H259" i="3" s="1"/>
  <c r="C260" i="3" s="1"/>
  <c r="D260" i="3" l="1"/>
  <c r="E260" i="3"/>
  <c r="F260" i="3" l="1"/>
  <c r="H260" i="3" s="1"/>
  <c r="C261" i="3" s="1"/>
  <c r="E261" i="3" l="1"/>
  <c r="D261" i="3"/>
  <c r="F261" i="3" s="1"/>
  <c r="H261" i="3" s="1"/>
  <c r="C262" i="3" s="1"/>
  <c r="E262" i="3" l="1"/>
  <c r="D262" i="3"/>
  <c r="F262" i="3" s="1"/>
  <c r="H262" i="3" s="1"/>
  <c r="C263" i="3" s="1"/>
  <c r="E263" i="3" l="1"/>
  <c r="D263" i="3"/>
  <c r="F263" i="3" s="1"/>
  <c r="H263" i="3" s="1"/>
  <c r="C264" i="3" s="1"/>
  <c r="E264" i="3" l="1"/>
  <c r="D264" i="3"/>
  <c r="F264" i="3" s="1"/>
  <c r="H264" i="3"/>
  <c r="C265" i="3" s="1"/>
  <c r="E265" i="3" l="1"/>
  <c r="D265" i="3"/>
  <c r="F265" i="3" s="1"/>
  <c r="H265" i="3" s="1"/>
  <c r="C266" i="3" s="1"/>
  <c r="E266" i="3" l="1"/>
  <c r="D266" i="3"/>
  <c r="F266" i="3" s="1"/>
  <c r="H266" i="3" s="1"/>
  <c r="C267" i="3" s="1"/>
  <c r="D267" i="3" l="1"/>
  <c r="E267" i="3"/>
  <c r="F267" i="3" l="1"/>
  <c r="H267" i="3" s="1"/>
  <c r="C268" i="3" s="1"/>
  <c r="D268" i="3" l="1"/>
  <c r="E268" i="3"/>
  <c r="F268" i="3" l="1"/>
  <c r="H268" i="3" s="1"/>
  <c r="C269" i="3" s="1"/>
  <c r="E269" i="3" l="1"/>
  <c r="D269" i="3"/>
  <c r="F269" i="3" s="1"/>
  <c r="H269" i="3" s="1"/>
  <c r="C270" i="3" s="1"/>
  <c r="D270" i="3" l="1"/>
  <c r="E270" i="3"/>
  <c r="F270" i="3" l="1"/>
  <c r="H270" i="3" s="1"/>
  <c r="C271" i="3" s="1"/>
  <c r="D271" i="3" l="1"/>
  <c r="E271" i="3"/>
  <c r="F271" i="3" l="1"/>
  <c r="H271" i="3" s="1"/>
  <c r="C272" i="3" s="1"/>
  <c r="E272" i="3" l="1"/>
  <c r="D272" i="3"/>
  <c r="F272" i="3" s="1"/>
  <c r="H272" i="3"/>
  <c r="C273" i="3" s="1"/>
  <c r="E273" i="3" l="1"/>
  <c r="D273" i="3"/>
  <c r="F273" i="3" s="1"/>
  <c r="H273" i="3" s="1"/>
  <c r="C274" i="3" s="1"/>
  <c r="D274" i="3" l="1"/>
  <c r="E274" i="3"/>
  <c r="F274" i="3" l="1"/>
  <c r="H274" i="3" s="1"/>
  <c r="C275" i="3" s="1"/>
  <c r="E275" i="3"/>
  <c r="D275" i="3"/>
  <c r="F275" i="3" s="1"/>
  <c r="H275" i="3" s="1"/>
  <c r="C276" i="3" s="1"/>
  <c r="D276" i="3" l="1"/>
  <c r="E276" i="3"/>
  <c r="F276" i="3" l="1"/>
  <c r="H276" i="3" s="1"/>
  <c r="C277" i="3" s="1"/>
  <c r="E277" i="3" l="1"/>
  <c r="D277" i="3"/>
  <c r="F277" i="3" s="1"/>
  <c r="H277" i="3" s="1"/>
  <c r="C278" i="3" s="1"/>
  <c r="E278" i="3" l="1"/>
  <c r="D278" i="3"/>
  <c r="F278" i="3" s="1"/>
  <c r="H278" i="3" s="1"/>
  <c r="C279" i="3" s="1"/>
  <c r="D279" i="3" l="1"/>
  <c r="E279" i="3"/>
  <c r="F279" i="3" l="1"/>
  <c r="H279" i="3" s="1"/>
  <c r="C280" i="3" s="1"/>
  <c r="E280" i="3" l="1"/>
  <c r="D280" i="3"/>
  <c r="F280" i="3" s="1"/>
  <c r="H280" i="3" s="1"/>
  <c r="C281" i="3" s="1"/>
  <c r="E281" i="3" l="1"/>
  <c r="D281" i="3"/>
  <c r="F281" i="3" s="1"/>
  <c r="H281" i="3" s="1"/>
  <c r="C282" i="3" s="1"/>
  <c r="E282" i="3" l="1"/>
  <c r="D282" i="3"/>
  <c r="F282" i="3" s="1"/>
  <c r="H282" i="3" s="1"/>
  <c r="C283" i="3" s="1"/>
  <c r="D283" i="3" l="1"/>
  <c r="E283" i="3"/>
  <c r="F283" i="3" l="1"/>
  <c r="H283" i="3" s="1"/>
  <c r="C284" i="3" s="1"/>
  <c r="E284" i="3" l="1"/>
  <c r="D284" i="3"/>
  <c r="F284" i="3" s="1"/>
  <c r="H284" i="3"/>
  <c r="C285" i="3" s="1"/>
  <c r="D285" i="3" l="1"/>
  <c r="E285" i="3"/>
  <c r="F285" i="3" l="1"/>
  <c r="H285" i="3" s="1"/>
  <c r="C286" i="3" s="1"/>
  <c r="E286" i="3" l="1"/>
  <c r="D286" i="3"/>
  <c r="F286" i="3" s="1"/>
  <c r="H286" i="3" s="1"/>
  <c r="C287" i="3" s="1"/>
  <c r="D287" i="3" l="1"/>
  <c r="E287" i="3"/>
  <c r="F287" i="3" l="1"/>
  <c r="H287" i="3" s="1"/>
  <c r="C288" i="3" s="1"/>
  <c r="E288" i="3" l="1"/>
  <c r="D288" i="3"/>
  <c r="F288" i="3" s="1"/>
  <c r="H288" i="3" s="1"/>
  <c r="C289" i="3" s="1"/>
  <c r="D289" i="3" l="1"/>
  <c r="E289" i="3"/>
  <c r="F289" i="3" l="1"/>
  <c r="H289" i="3" s="1"/>
  <c r="C290" i="3" s="1"/>
  <c r="E290" i="3" l="1"/>
  <c r="D290" i="3"/>
  <c r="F290" i="3" s="1"/>
  <c r="H290" i="3"/>
  <c r="C291" i="3" s="1"/>
  <c r="D291" i="3" l="1"/>
  <c r="E291" i="3"/>
  <c r="F291" i="3" l="1"/>
  <c r="H291" i="3" s="1"/>
  <c r="C292" i="3" s="1"/>
  <c r="E292" i="3" l="1"/>
  <c r="D292" i="3"/>
  <c r="F292" i="3" s="1"/>
  <c r="H292" i="3" s="1"/>
  <c r="C293" i="3" s="1"/>
  <c r="D293" i="3" l="1"/>
  <c r="E293" i="3"/>
  <c r="F293" i="3" l="1"/>
  <c r="H293" i="3" s="1"/>
  <c r="C294" i="3" s="1"/>
  <c r="E294" i="3" l="1"/>
  <c r="D294" i="3"/>
  <c r="F294" i="3" s="1"/>
  <c r="H294" i="3" s="1"/>
  <c r="C295" i="3" s="1"/>
  <c r="D295" i="3" l="1"/>
  <c r="E295" i="3"/>
  <c r="F295" i="3" l="1"/>
  <c r="H295" i="3" s="1"/>
  <c r="C296" i="3" s="1"/>
  <c r="E296" i="3" l="1"/>
  <c r="D296" i="3"/>
  <c r="F296" i="3" s="1"/>
  <c r="H296" i="3"/>
  <c r="C297" i="3" s="1"/>
  <c r="D297" i="3" l="1"/>
  <c r="E297" i="3"/>
  <c r="F297" i="3" l="1"/>
  <c r="H297" i="3" s="1"/>
  <c r="C298" i="3" s="1"/>
  <c r="E298" i="3" l="1"/>
  <c r="D298" i="3"/>
  <c r="F298" i="3" s="1"/>
  <c r="H298" i="3" s="1"/>
  <c r="C299" i="3" s="1"/>
  <c r="D299" i="3" l="1"/>
  <c r="E299" i="3"/>
  <c r="F299" i="3" l="1"/>
  <c r="H299" i="3" s="1"/>
  <c r="C300" i="3" s="1"/>
  <c r="E300" i="3" l="1"/>
  <c r="D300" i="3"/>
  <c r="F300" i="3" s="1"/>
  <c r="H300" i="3" s="1"/>
  <c r="C301" i="3" s="1"/>
  <c r="D301" i="3" l="1"/>
  <c r="E301" i="3"/>
  <c r="F301" i="3" l="1"/>
  <c r="H301" i="3" s="1"/>
  <c r="C302" i="3" s="1"/>
  <c r="E302" i="3" l="1"/>
  <c r="D302" i="3"/>
  <c r="F302" i="3" s="1"/>
  <c r="H302" i="3" s="1"/>
  <c r="C303" i="3" s="1"/>
  <c r="D303" i="3" l="1"/>
  <c r="E303" i="3"/>
  <c r="F303" i="3" l="1"/>
  <c r="H303" i="3" s="1"/>
  <c r="C304" i="3" s="1"/>
  <c r="E304" i="3" l="1"/>
  <c r="D304" i="3"/>
  <c r="F304" i="3" s="1"/>
  <c r="H304" i="3" s="1"/>
  <c r="C305" i="3" s="1"/>
  <c r="E305" i="3" l="1"/>
  <c r="F27" i="2" s="1"/>
  <c r="B31" i="2" s="1"/>
  <c r="D305" i="3"/>
  <c r="F305" i="3" l="1"/>
  <c r="H305" i="3" s="1"/>
  <c r="F24" i="2" s="1"/>
  <c r="B33" i="2" s="1"/>
  <c r="F25" i="2"/>
  <c r="F28" i="2"/>
</calcChain>
</file>

<file path=xl/sharedStrings.xml><?xml version="1.0" encoding="utf-8"?>
<sst xmlns="http://schemas.openxmlformats.org/spreadsheetml/2006/main" count="56" uniqueCount="54">
  <si>
    <t>SIMULADOR DE ABONOS A CAPITAL MQF</t>
  </si>
  <si>
    <t>Calcula cuánto ahorrarías en intereses y cuánto tiempo recortarías de tu préstamo.</t>
  </si>
  <si>
    <t>Más Que Finanzas RD  ·  @masquefinanzasrd</t>
  </si>
  <si>
    <t>"Antes de abonar a capital, asegúrate de que tu fondo de emergencia siga intacto."</t>
  </si>
  <si>
    <t>CÓMO USAR ESTA HERRAMIENTA</t>
  </si>
  <si>
    <t>1️⃣</t>
  </si>
  <si>
    <t>Datos del préstamo</t>
  </si>
  <si>
    <t>En la hoja 🔢 Simulador, llena monto, tasa anual y plazo en meses. La cuota se calcula sola.</t>
  </si>
  <si>
    <t>2️⃣</t>
  </si>
  <si>
    <t>Estrategia de abono</t>
  </si>
  <si>
    <t>Elige si quieres REDUCIR PLAZO (terminas antes) o REDUCIR CUOTA (pagas mensualidad más baja).</t>
  </si>
  <si>
    <t>3️⃣</t>
  </si>
  <si>
    <t>Abonos extraordinarios</t>
  </si>
  <si>
    <t>Indica en qué cuota harás el abono y de cuánto. Puedes agregar hasta 12 abonos.</t>
  </si>
  <si>
    <t>4️⃣</t>
  </si>
  <si>
    <t>Mira el resultado</t>
  </si>
  <si>
    <t>Verás cuánto ahorras en intereses, cuánto tiempo recortas y la cronograma mes a mes.</t>
  </si>
  <si>
    <t>⚠️  Cifras ilustrativas. Esta herramienta es educativa, no constituye asesoría financiera personalizada. Antes de hacer un abono, verifica con tu banco si aplica penalidad por pago anticipado y si reducir el plazo o la cuota es elegible para tu préstamo.</t>
  </si>
  <si>
    <t>© Más Que Finanzas RD  ·  masquefinanzas.com</t>
  </si>
  <si>
    <t>🔢  SIMULADOR DE ABONOS A CAPITAL</t>
  </si>
  <si>
    <t>Edita las celdas blancas. Las fórmulas (gris) se calculan solas.</t>
  </si>
  <si>
    <t>📋  DATOS DEL PRÉSTAMO</t>
  </si>
  <si>
    <t>💰  ABONOS EXTRAORDINARIOS</t>
  </si>
  <si>
    <t>Monto del préstamo (RD$)</t>
  </si>
  <si>
    <t>Indica en qué cuota harás el abono y el monto.</t>
  </si>
  <si>
    <t>Tasa de interés anual (%)</t>
  </si>
  <si>
    <t># CUOTA</t>
  </si>
  <si>
    <t>MONTO ABONO (RD$)</t>
  </si>
  <si>
    <t>Plazo en meses</t>
  </si>
  <si>
    <t>Tasa mensual efectiva</t>
  </si>
  <si>
    <t>Cuota mensual base</t>
  </si>
  <si>
    <t>🎯  ESTRATEGIA DE ABONO</t>
  </si>
  <si>
    <t>Estrategia</t>
  </si>
  <si>
    <t>REDUCIR PLAZO</t>
  </si>
  <si>
    <t>Recomendación</t>
  </si>
  <si>
    <t>TOTAL ABONOS</t>
  </si>
  <si>
    <t>📊  RESULTADO</t>
  </si>
  <si>
    <t>CONCEPTO</t>
  </si>
  <si>
    <t>SIN ABONOS</t>
  </si>
  <si>
    <t>CON ABONOS</t>
  </si>
  <si>
    <t>Meses para terminar</t>
  </si>
  <si>
    <t>Total cuotas pagadas</t>
  </si>
  <si>
    <t>Abonos extras</t>
  </si>
  <si>
    <t>Total intereses pagados</t>
  </si>
  <si>
    <t>Costo total del préstamo</t>
  </si>
  <si>
    <t>💪  AHORRO TOTAL EN INTERESES</t>
  </si>
  <si>
    <t>📅  CRONOGRAMA DE AMORTIZACIÓN (con abonos)</t>
  </si>
  <si>
    <t>Cuando el saldo llega a cero, las cuotas siguientes muestran $0 — el préstamo terminó antes.</t>
  </si>
  <si>
    <t>SALDO INICIAL</t>
  </si>
  <si>
    <t>CUOTA BASE</t>
  </si>
  <si>
    <t>INTERESES</t>
  </si>
  <si>
    <t>CAPITAL</t>
  </si>
  <si>
    <t>ABONO EXTRA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</si>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</sst>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D$&quot;#,##0;[Red]&quot;(RD$&quot;#,##0\);\-"/>
    <numFmt numFmtId="165" formatCode="0.00%;[Red]\-0.00%;\-"/>
    <numFmt numFmtId="166" formatCode="#,##0;[Red]\-#,##0;\-"/>
    <numFmt numFmtId="167" formatCode="0.0000%"/>
  </numFmts>
  <fonts count="27" x14ac:knownFonts="1">
    <font>
      <sz val="11"/>
      <color theme="1"/>
      <name val="Calibri"/>
      <family val="2"/>
      <charset val="1"/>
    </font>
    <font>
      <b/>
      <sz val="22"/>
      <color rgb="FF003C50"/>
      <name val="Arial"/>
      <family val="2"/>
    </font>
    <font>
      <i/>
      <sz val="11"/>
      <color rgb="FF6B7A85"/>
      <name val="Arial"/>
      <family val="2"/>
    </font>
    <font>
      <sz val="10"/>
      <color rgb="FF3282AA"/>
      <name val="Arial"/>
      <family val="2"/>
    </font>
    <font>
      <b/>
      <i/>
      <sz val="14"/>
      <color rgb="FFD86A54"/>
      <name val="Arial"/>
      <family val="2"/>
    </font>
    <font>
      <b/>
      <sz val="13"/>
      <color rgb="FFFFFFFF"/>
      <name val="Arial"/>
      <family val="2"/>
    </font>
    <font>
      <sz val="20"/>
      <color rgb="FF1F2A33"/>
      <name val="Arial"/>
      <family val="2"/>
    </font>
    <font>
      <b/>
      <sz val="12"/>
      <color rgb="FF003C50"/>
      <name val="Arial"/>
      <family val="2"/>
    </font>
    <font>
      <sz val="11"/>
      <color rgb="FF1F2A33"/>
      <name val="Arial"/>
      <family val="2"/>
    </font>
    <font>
      <i/>
      <sz val="10"/>
      <color rgb="FF6B7A85"/>
      <name val="Arial"/>
      <family val="2"/>
    </font>
    <font>
      <sz val="10"/>
      <color rgb="FF6B7A85"/>
      <name val="Arial"/>
      <family val="2"/>
    </font>
    <font>
      <b/>
      <sz val="18"/>
      <color rgb="FFFFFFFF"/>
      <name val="Arial"/>
      <family val="2"/>
    </font>
    <font>
      <b/>
      <sz val="12"/>
      <color rgb="FF0000FF"/>
      <name val="Arial"/>
      <family val="2"/>
    </font>
    <font>
      <b/>
      <sz val="11"/>
      <color rgb="FFFFFFFF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1"/>
      <color rgb="FF6B7A85"/>
      <name val="Arial"/>
      <family val="2"/>
    </font>
    <font>
      <b/>
      <sz val="11"/>
      <color rgb="FF003C50"/>
      <name val="Arial"/>
      <family val="2"/>
    </font>
    <font>
      <b/>
      <sz val="14"/>
      <color rgb="FFFFFFFF"/>
      <name val="Arial"/>
      <family val="2"/>
    </font>
    <font>
      <b/>
      <sz val="36"/>
      <color rgb="FF003C50"/>
      <name val="Arial"/>
      <family val="2"/>
    </font>
    <font>
      <b/>
      <i/>
      <sz val="13"/>
      <color rgb="FFD86A54"/>
      <name val="Arial"/>
      <family val="2"/>
    </font>
    <font>
      <b/>
      <sz val="16"/>
      <color rgb="FFFFFFFF"/>
      <name val="Arial"/>
      <family val="2"/>
    </font>
    <font>
      <sz val="10"/>
      <color rgb="FF1F2A33"/>
      <name val="Arial"/>
      <family val="2"/>
    </font>
    <font>
      <sz val="10"/>
      <color rgb="FFD86A54"/>
      <name val="Arial"/>
      <family val="2"/>
    </font>
    <font>
      <sz val="10"/>
      <color rgb="FF003C50"/>
      <name val="Arial"/>
      <family val="2"/>
    </font>
    <font>
      <b/>
      <sz val="10"/>
      <color rgb="FFD4A43A"/>
      <name val="Arial"/>
      <family val="2"/>
    </font>
    <font>
      <b/>
      <sz val="10"/>
      <color rgb="FF1F2A3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0F5F8"/>
        <bgColor rgb="FFFAF4E8"/>
      </patternFill>
    </fill>
    <fill>
      <patternFill patternType="solid">
        <fgColor rgb="FFFAF4E8"/>
        <bgColor rgb="FFF0F5F8"/>
      </patternFill>
    </fill>
    <fill>
      <patternFill patternType="solid">
        <fgColor rgb="FF003C50"/>
        <bgColor rgb="FF1F2A33"/>
      </patternFill>
    </fill>
    <fill>
      <patternFill patternType="solid">
        <fgColor rgb="FFD4A43A"/>
        <bgColor rgb="FFFFCC00"/>
      </patternFill>
    </fill>
    <fill>
      <patternFill patternType="solid">
        <fgColor rgb="FFFFFFFF"/>
        <bgColor rgb="FFF0F5F8"/>
      </patternFill>
    </fill>
    <fill>
      <patternFill patternType="solid">
        <fgColor rgb="FF3282AA"/>
        <bgColor rgb="FF008080"/>
      </patternFill>
    </fill>
    <fill>
      <patternFill patternType="solid">
        <fgColor rgb="FFDCE7EE"/>
        <bgColor rgb="FFF0F5F8"/>
      </patternFill>
    </fill>
    <fill>
      <patternFill patternType="solid">
        <fgColor rgb="FFD86A54"/>
        <bgColor rgb="FFFF6600"/>
      </patternFill>
    </fill>
    <fill>
      <patternFill patternType="solid">
        <fgColor rgb="FF94A88A"/>
        <bgColor rgb="FFC0C0C0"/>
      </patternFill>
    </fill>
  </fills>
  <borders count="3">
    <border>
      <left/>
      <right/>
      <top/>
      <bottom/>
      <diagonal/>
    </border>
    <border>
      <left style="thin">
        <color rgb="FFDCE7EE"/>
      </left>
      <right style="thin">
        <color rgb="FFDCE7EE"/>
      </right>
      <top style="thin">
        <color rgb="FFDCE7EE"/>
      </top>
      <bottom style="thin">
        <color rgb="FFDCE7EE"/>
      </bottom>
      <diagonal/>
    </border>
    <border>
      <left style="thin">
        <color rgb="FFDCE7EE"/>
      </left>
      <right/>
      <top style="thin">
        <color rgb="FFDCE7EE"/>
      </top>
      <bottom style="thin">
        <color rgb="FFDCE7EE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2" fillId="6" borderId="2" xfId="0" applyNumberFormat="1" applyFont="1" applyFill="1" applyBorder="1" applyAlignment="1" applyProtection="1">
      <alignment horizontal="right" vertical="center"/>
      <protection locked="0"/>
    </xf>
    <xf numFmtId="0" fontId="5" fillId="5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1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right" vertical="center"/>
    </xf>
    <xf numFmtId="164" fontId="23" fillId="0" borderId="1" xfId="0" applyNumberFormat="1" applyFont="1" applyBorder="1" applyAlignment="1">
      <alignment horizontal="right" vertical="center"/>
    </xf>
    <xf numFmtId="164" fontId="24" fillId="0" borderId="1" xfId="0" applyNumberFormat="1" applyFont="1" applyBorder="1" applyAlignment="1">
      <alignment horizontal="right" vertical="center"/>
    </xf>
    <xf numFmtId="164" fontId="25" fillId="0" borderId="1" xfId="0" applyNumberFormat="1" applyFont="1" applyBorder="1" applyAlignment="1">
      <alignment horizontal="right" vertical="center"/>
    </xf>
    <xf numFmtId="164" fontId="26" fillId="0" borderId="1" xfId="0" applyNumberFormat="1" applyFont="1" applyBorder="1" applyAlignment="1">
      <alignment horizontal="right" vertical="center"/>
    </xf>
    <xf numFmtId="165" fontId="12" fillId="6" borderId="2" xfId="0" applyNumberFormat="1" applyFont="1" applyFill="1" applyBorder="1" applyAlignment="1" applyProtection="1">
      <alignment horizontal="right" vertical="center"/>
      <protection locked="0"/>
    </xf>
    <xf numFmtId="0" fontId="13" fillId="4" borderId="2" xfId="0" applyFont="1" applyFill="1" applyBorder="1" applyAlignment="1">
      <alignment horizontal="center" vertical="center" wrapText="1"/>
    </xf>
    <xf numFmtId="166" fontId="12" fillId="6" borderId="2" xfId="0" applyNumberFormat="1" applyFont="1" applyFill="1" applyBorder="1" applyAlignment="1" applyProtection="1">
      <alignment horizontal="right" vertical="center"/>
      <protection locked="0"/>
    </xf>
    <xf numFmtId="164" fontId="15" fillId="6" borderId="2" xfId="0" applyNumberFormat="1" applyFont="1" applyFill="1" applyBorder="1" applyAlignment="1" applyProtection="1">
      <alignment horizontal="right" vertical="center"/>
      <protection locked="0"/>
    </xf>
    <xf numFmtId="167" fontId="8" fillId="8" borderId="2" xfId="0" applyNumberFormat="1" applyFont="1" applyFill="1" applyBorder="1" applyAlignment="1">
      <alignment horizontal="right" vertical="center"/>
    </xf>
    <xf numFmtId="164" fontId="7" fillId="8" borderId="2" xfId="0" applyNumberFormat="1" applyFont="1" applyFill="1" applyBorder="1" applyAlignment="1">
      <alignment horizontal="right" vertical="center"/>
    </xf>
    <xf numFmtId="0" fontId="5" fillId="9" borderId="0" xfId="0" applyFont="1" applyFill="1" applyAlignment="1">
      <alignment horizontal="center" vertical="center" wrapText="1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164" fontId="17" fillId="8" borderId="2" xfId="0" applyNumberFormat="1" applyFont="1" applyFill="1" applyBorder="1" applyAlignment="1">
      <alignment horizontal="right" vertical="center"/>
    </xf>
    <xf numFmtId="0" fontId="18" fillId="4" borderId="0" xfId="0" applyFont="1" applyFill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1" fontId="16" fillId="6" borderId="2" xfId="0" applyNumberFormat="1" applyFont="1" applyFill="1" applyBorder="1" applyAlignment="1">
      <alignment horizontal="right" vertical="center"/>
    </xf>
    <xf numFmtId="1" fontId="17" fillId="8" borderId="2" xfId="0" applyNumberFormat="1" applyFont="1" applyFill="1" applyBorder="1" applyAlignment="1">
      <alignment horizontal="right" vertical="center"/>
    </xf>
    <xf numFmtId="164" fontId="16" fillId="6" borderId="2" xfId="0" applyNumberFormat="1" applyFont="1" applyFill="1" applyBorder="1" applyAlignment="1">
      <alignment horizontal="right" vertical="center"/>
    </xf>
    <xf numFmtId="0" fontId="5" fillId="10" borderId="0" xfId="0" applyFont="1" applyFill="1" applyAlignment="1">
      <alignment horizontal="center" vertical="center" wrapText="1"/>
    </xf>
    <xf numFmtId="164" fontId="19" fillId="3" borderId="0" xfId="0" applyNumberFormat="1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A85"/>
      <rgbColor rgb="FF9999FF"/>
      <rgbColor rgb="FF993366"/>
      <rgbColor rgb="FFFAF4E8"/>
      <rgbColor rgb="FFDCE7EE"/>
      <rgbColor rgb="FF660066"/>
      <rgbColor rgb="FFD86A5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5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43A"/>
      <rgbColor rgb="FFFF6600"/>
      <rgbColor rgb="FF666699"/>
      <rgbColor rgb="FF94A88A"/>
      <rgbColor rgb="FF003C50"/>
      <rgbColor rgb="FF3282AA"/>
      <rgbColor rgb="FF003300"/>
      <rgbColor rgb="FF333300"/>
      <rgbColor rgb="FF993300"/>
      <rgbColor rgb="FF993366"/>
      <rgbColor rgb="FF333399"/>
      <rgbColor rgb="FF1F2A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1352160</xdr:colOff>
      <xdr:row>22</xdr:row>
      <xdr:rowOff>95040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93560" y="5024880"/>
          <a:ext cx="1352160" cy="85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990360</xdr:colOff>
      <xdr:row>1</xdr:row>
      <xdr:rowOff>380520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64640" y="190440"/>
          <a:ext cx="990360" cy="380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990360</xdr:colOff>
      <xdr:row>1</xdr:row>
      <xdr:rowOff>380520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273000" y="190440"/>
          <a:ext cx="990360" cy="380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9"/>
  <sheetViews>
    <sheetView showGridLines="0" zoomScaleNormal="100" workbookViewId="0"/>
  </sheetViews>
  <sheetFormatPr baseColWidth="10" defaultColWidth="8.6640625" defaultRowHeight="15" x14ac:dyDescent="0.2"/>
  <cols>
    <col min="1" max="1" width="2" customWidth="1"/>
    <col min="2" max="2" width="5" customWidth="1"/>
    <col min="3" max="4" width="24" customWidth="1"/>
    <col min="5" max="9" width="22" customWidth="1"/>
  </cols>
  <sheetData>
    <row r="2" spans="2:9" ht="15" customHeight="1" x14ac:dyDescent="0.2">
      <c r="B2" s="14" t="s">
        <v>0</v>
      </c>
      <c r="C2" s="14"/>
      <c r="D2" s="14"/>
      <c r="E2" s="14"/>
      <c r="F2" s="14"/>
      <c r="G2" s="14"/>
      <c r="H2" s="14"/>
      <c r="I2" s="14"/>
    </row>
    <row r="3" spans="2:9" x14ac:dyDescent="0.2">
      <c r="B3" s="14"/>
      <c r="C3" s="14"/>
      <c r="D3" s="14"/>
      <c r="E3" s="14"/>
      <c r="F3" s="14"/>
      <c r="G3" s="14"/>
      <c r="H3" s="14"/>
      <c r="I3" s="14"/>
    </row>
    <row r="4" spans="2:9" ht="15" customHeight="1" x14ac:dyDescent="0.2">
      <c r="B4" s="13" t="s">
        <v>1</v>
      </c>
      <c r="C4" s="13"/>
      <c r="D4" s="13"/>
      <c r="E4" s="13"/>
      <c r="F4" s="13"/>
      <c r="G4" s="13"/>
      <c r="H4" s="13"/>
      <c r="I4" s="13"/>
    </row>
    <row r="5" spans="2:9" ht="15" customHeight="1" x14ac:dyDescent="0.2">
      <c r="B5" s="12" t="s">
        <v>2</v>
      </c>
      <c r="C5" s="12"/>
      <c r="D5" s="12"/>
      <c r="E5" s="12"/>
      <c r="F5" s="12"/>
      <c r="G5" s="12"/>
      <c r="H5" s="12"/>
      <c r="I5" s="12"/>
    </row>
    <row r="7" spans="2:9" ht="15" customHeight="1" x14ac:dyDescent="0.2">
      <c r="B7" s="11" t="s">
        <v>3</v>
      </c>
      <c r="C7" s="11"/>
      <c r="D7" s="11"/>
      <c r="E7" s="11"/>
      <c r="F7" s="11"/>
      <c r="G7" s="11"/>
      <c r="H7" s="11"/>
      <c r="I7" s="11"/>
    </row>
    <row r="8" spans="2:9" x14ac:dyDescent="0.2">
      <c r="B8" s="11"/>
      <c r="C8" s="11"/>
      <c r="D8" s="11"/>
      <c r="E8" s="11"/>
      <c r="F8" s="11"/>
      <c r="G8" s="11"/>
      <c r="H8" s="11"/>
      <c r="I8" s="11"/>
    </row>
    <row r="10" spans="2:9" ht="16.25" customHeight="1" x14ac:dyDescent="0.2">
      <c r="B10" s="10" t="s">
        <v>4</v>
      </c>
      <c r="C10" s="10"/>
      <c r="D10" s="10"/>
      <c r="E10" s="10"/>
      <c r="F10" s="10"/>
      <c r="G10" s="10"/>
      <c r="H10" s="10"/>
      <c r="I10" s="10"/>
    </row>
    <row r="12" spans="2:9" ht="37.5" customHeight="1" x14ac:dyDescent="0.2">
      <c r="B12" s="15" t="s">
        <v>5</v>
      </c>
      <c r="C12" s="9" t="s">
        <v>6</v>
      </c>
      <c r="D12" s="9"/>
      <c r="E12" s="8" t="s">
        <v>7</v>
      </c>
      <c r="F12" s="8"/>
      <c r="G12" s="8"/>
      <c r="H12" s="8"/>
      <c r="I12" s="8"/>
    </row>
    <row r="13" spans="2:9" ht="37.5" customHeight="1" x14ac:dyDescent="0.2">
      <c r="B13" s="15" t="s">
        <v>8</v>
      </c>
      <c r="C13" s="9" t="s">
        <v>9</v>
      </c>
      <c r="D13" s="9"/>
      <c r="E13" s="8" t="s">
        <v>10</v>
      </c>
      <c r="F13" s="8"/>
      <c r="G13" s="8"/>
      <c r="H13" s="8"/>
      <c r="I13" s="8"/>
    </row>
    <row r="14" spans="2:9" ht="37.5" customHeight="1" x14ac:dyDescent="0.2">
      <c r="B14" s="15" t="s">
        <v>11</v>
      </c>
      <c r="C14" s="9" t="s">
        <v>12</v>
      </c>
      <c r="D14" s="9"/>
      <c r="E14" s="8" t="s">
        <v>13</v>
      </c>
      <c r="F14" s="8"/>
      <c r="G14" s="8"/>
      <c r="H14" s="8"/>
      <c r="I14" s="8"/>
    </row>
    <row r="15" spans="2:9" ht="37.5" customHeight="1" x14ac:dyDescent="0.2">
      <c r="B15" s="15" t="s">
        <v>14</v>
      </c>
      <c r="C15" s="9" t="s">
        <v>15</v>
      </c>
      <c r="D15" s="9"/>
      <c r="E15" s="8" t="s">
        <v>16</v>
      </c>
      <c r="F15" s="8"/>
      <c r="G15" s="8"/>
      <c r="H15" s="8"/>
      <c r="I15" s="8"/>
    </row>
    <row r="17" spans="2:9" ht="49.5" customHeight="1" x14ac:dyDescent="0.2">
      <c r="B17" s="7" t="s">
        <v>17</v>
      </c>
      <c r="C17" s="7"/>
      <c r="D17" s="7"/>
      <c r="E17" s="7"/>
      <c r="F17" s="7"/>
      <c r="G17" s="7"/>
      <c r="H17" s="7"/>
      <c r="I17" s="7"/>
    </row>
    <row r="19" spans="2:9" ht="15" customHeight="1" x14ac:dyDescent="0.2">
      <c r="B19" s="6" t="s">
        <v>18</v>
      </c>
      <c r="C19" s="6"/>
      <c r="D19" s="6"/>
      <c r="E19" s="6"/>
      <c r="F19" s="6"/>
      <c r="G19" s="6"/>
      <c r="H19" s="6"/>
      <c r="I19" s="6"/>
    </row>
  </sheetData>
  <sheetProtection password="DEC2" sheet="1"/>
  <mergeCells count="15">
    <mergeCell ref="C15:D15"/>
    <mergeCell ref="E15:I15"/>
    <mergeCell ref="B17:I17"/>
    <mergeCell ref="B19:I19"/>
    <mergeCell ref="C12:D12"/>
    <mergeCell ref="E12:I12"/>
    <mergeCell ref="C13:D13"/>
    <mergeCell ref="E13:I13"/>
    <mergeCell ref="C14:D14"/>
    <mergeCell ref="E14:I14"/>
    <mergeCell ref="B2:I3"/>
    <mergeCell ref="B4:I4"/>
    <mergeCell ref="B5:I5"/>
    <mergeCell ref="B7:I8"/>
    <mergeCell ref="B10:I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3"/>
  <sheetViews>
    <sheetView showGridLines="0" topLeftCell="A7" zoomScaleNormal="100" workbookViewId="0">
      <selection activeCell="C13" sqref="C13:D13"/>
    </sheetView>
  </sheetViews>
  <sheetFormatPr baseColWidth="10" defaultColWidth="8.6640625" defaultRowHeight="15" x14ac:dyDescent="0.2"/>
  <cols>
    <col min="1" max="1" width="3" customWidth="1"/>
    <col min="2" max="2" width="32" customWidth="1"/>
    <col min="3" max="4" width="20" customWidth="1"/>
    <col min="5" max="5" width="16" customWidth="1"/>
    <col min="6" max="7" width="22" customWidth="1"/>
  </cols>
  <sheetData>
    <row r="2" spans="2:7" ht="33.75" customHeight="1" x14ac:dyDescent="0.2">
      <c r="B2" s="5" t="s">
        <v>19</v>
      </c>
      <c r="C2" s="5"/>
      <c r="D2" s="5"/>
      <c r="E2" s="5"/>
      <c r="F2" s="5"/>
      <c r="G2" s="5"/>
    </row>
    <row r="3" spans="2:7" ht="15" customHeight="1" x14ac:dyDescent="0.2">
      <c r="B3" s="4" t="s">
        <v>20</v>
      </c>
      <c r="C3" s="4"/>
      <c r="D3" s="4"/>
      <c r="E3" s="4"/>
      <c r="F3" s="4"/>
      <c r="G3" s="4"/>
    </row>
    <row r="5" spans="2:7" ht="27.75" customHeight="1" x14ac:dyDescent="0.2">
      <c r="B5" s="3" t="s">
        <v>21</v>
      </c>
      <c r="C5" s="3"/>
      <c r="D5" s="3"/>
      <c r="E5" s="2" t="s">
        <v>22</v>
      </c>
      <c r="F5" s="2"/>
      <c r="G5" s="2"/>
    </row>
    <row r="6" spans="2:7" ht="24" customHeight="1" x14ac:dyDescent="0.2">
      <c r="B6" s="16" t="s">
        <v>23</v>
      </c>
      <c r="C6" s="1">
        <v>5000000</v>
      </c>
      <c r="D6" s="1"/>
      <c r="E6" s="4" t="s">
        <v>24</v>
      </c>
      <c r="F6" s="4"/>
      <c r="G6" s="4"/>
    </row>
    <row r="7" spans="2:7" ht="24" customHeight="1" x14ac:dyDescent="0.2">
      <c r="B7" s="16" t="s">
        <v>25</v>
      </c>
      <c r="C7" s="29">
        <v>0.15</v>
      </c>
      <c r="D7" s="29"/>
      <c r="E7" s="17" t="s">
        <v>26</v>
      </c>
      <c r="F7" s="30" t="s">
        <v>27</v>
      </c>
      <c r="G7" s="30"/>
    </row>
    <row r="8" spans="2:7" ht="24" customHeight="1" x14ac:dyDescent="0.2">
      <c r="B8" s="16" t="s">
        <v>28</v>
      </c>
      <c r="C8" s="31">
        <v>96</v>
      </c>
      <c r="D8" s="31"/>
      <c r="E8" s="18">
        <v>12</v>
      </c>
      <c r="F8" s="32">
        <v>100000</v>
      </c>
      <c r="G8" s="32"/>
    </row>
    <row r="9" spans="2:7" x14ac:dyDescent="0.2">
      <c r="B9" s="19" t="s">
        <v>29</v>
      </c>
      <c r="C9" s="33">
        <f>(1+C7)^(1/12)-1</f>
        <v>1.171491691985338E-2</v>
      </c>
      <c r="D9" s="33"/>
      <c r="E9" s="18">
        <v>24</v>
      </c>
      <c r="F9" s="32">
        <v>100000</v>
      </c>
      <c r="G9" s="32"/>
    </row>
    <row r="10" spans="2:7" ht="16" x14ac:dyDescent="0.2">
      <c r="B10" s="20" t="s">
        <v>30</v>
      </c>
      <c r="C10" s="34">
        <f>IFERROR(PMT(C9,C8,-C6),0)</f>
        <v>87022.342836897864</v>
      </c>
      <c r="D10" s="34"/>
      <c r="E10" s="18">
        <v>36</v>
      </c>
      <c r="F10" s="32">
        <v>100000</v>
      </c>
      <c r="G10" s="32"/>
    </row>
    <row r="11" spans="2:7" x14ac:dyDescent="0.2">
      <c r="E11" s="18">
        <v>48</v>
      </c>
      <c r="F11" s="32">
        <v>100000</v>
      </c>
      <c r="G11" s="32"/>
    </row>
    <row r="12" spans="2:7" ht="27.75" customHeight="1" x14ac:dyDescent="0.2">
      <c r="B12" s="35" t="s">
        <v>31</v>
      </c>
      <c r="C12" s="35"/>
      <c r="D12" s="35"/>
      <c r="E12" s="18">
        <v>60</v>
      </c>
      <c r="F12" s="32">
        <v>100000</v>
      </c>
      <c r="G12" s="32"/>
    </row>
    <row r="13" spans="2:7" ht="15" customHeight="1" x14ac:dyDescent="0.2">
      <c r="B13" s="16" t="s">
        <v>32</v>
      </c>
      <c r="C13" s="36" t="s">
        <v>33</v>
      </c>
      <c r="D13" s="36"/>
      <c r="E13" s="18">
        <v>72</v>
      </c>
      <c r="F13" s="32">
        <v>100000</v>
      </c>
      <c r="G13" s="32"/>
    </row>
    <row r="14" spans="2:7" x14ac:dyDescent="0.2">
      <c r="B14" s="21" t="s">
        <v>34</v>
      </c>
      <c r="C14" s="7" t="str">
        <f>IF(C13="REDUCIR PLAZO","Ahorras más intereses, cuota mensual sigue igual.","Liberas flujo mensual, ahorras menos intereses.")</f>
        <v>Ahorras más intereses, cuota mensual sigue igual.</v>
      </c>
      <c r="D14" s="7"/>
      <c r="E14" s="18">
        <v>84</v>
      </c>
      <c r="F14" s="32">
        <v>100000</v>
      </c>
      <c r="G14" s="32"/>
    </row>
    <row r="15" spans="2:7" x14ac:dyDescent="0.2">
      <c r="E15" s="18"/>
      <c r="F15" s="32"/>
      <c r="G15" s="32"/>
    </row>
    <row r="16" spans="2:7" x14ac:dyDescent="0.2">
      <c r="E16" s="18"/>
      <c r="F16" s="32"/>
      <c r="G16" s="32"/>
    </row>
    <row r="17" spans="2:7" x14ac:dyDescent="0.2">
      <c r="E17" s="18"/>
      <c r="F17" s="32"/>
      <c r="G17" s="32"/>
    </row>
    <row r="18" spans="2:7" x14ac:dyDescent="0.2">
      <c r="E18" s="18"/>
      <c r="F18" s="32"/>
      <c r="G18" s="32"/>
    </row>
    <row r="19" spans="2:7" x14ac:dyDescent="0.2">
      <c r="E19" s="18"/>
      <c r="F19" s="32"/>
      <c r="G19" s="32"/>
    </row>
    <row r="20" spans="2:7" ht="30" x14ac:dyDescent="0.2">
      <c r="E20" s="17" t="s">
        <v>35</v>
      </c>
      <c r="F20" s="37">
        <f>SUM(F8:G19)</f>
        <v>700000</v>
      </c>
      <c r="G20" s="37"/>
    </row>
    <row r="22" spans="2:7" ht="30" customHeight="1" x14ac:dyDescent="0.2">
      <c r="B22" s="38" t="s">
        <v>36</v>
      </c>
      <c r="C22" s="38"/>
      <c r="D22" s="38"/>
      <c r="E22" s="38"/>
      <c r="F22" s="38"/>
      <c r="G22" s="38"/>
    </row>
    <row r="23" spans="2:7" ht="24" customHeight="1" x14ac:dyDescent="0.2">
      <c r="B23" s="39" t="s">
        <v>37</v>
      </c>
      <c r="C23" s="39"/>
      <c r="D23" s="39" t="s">
        <v>38</v>
      </c>
      <c r="E23" s="39"/>
      <c r="F23" s="39" t="s">
        <v>39</v>
      </c>
      <c r="G23" s="39"/>
    </row>
    <row r="24" spans="2:7" ht="21.75" customHeight="1" x14ac:dyDescent="0.2">
      <c r="B24" s="40" t="s">
        <v>40</v>
      </c>
      <c r="C24" s="40"/>
      <c r="D24" s="41">
        <f>C8</f>
        <v>96</v>
      </c>
      <c r="E24" s="41"/>
      <c r="F24" s="42">
        <f>COUNTIF('📅 Cronograma'!H6:H305,"&gt;0.01")</f>
        <v>83</v>
      </c>
      <c r="G24" s="42"/>
    </row>
    <row r="25" spans="2:7" ht="21.75" customHeight="1" x14ac:dyDescent="0.2">
      <c r="B25" s="40" t="s">
        <v>41</v>
      </c>
      <c r="C25" s="40"/>
      <c r="D25" s="43">
        <f>C8*C10</f>
        <v>8354144.9123421945</v>
      </c>
      <c r="E25" s="43"/>
      <c r="F25" s="37">
        <f>IFERROR(SUM('📅 Cronograma'!D6:D305),0)</f>
        <v>7272110.3109788364</v>
      </c>
      <c r="G25" s="37"/>
    </row>
    <row r="26" spans="2:7" ht="21.75" customHeight="1" x14ac:dyDescent="0.2">
      <c r="B26" s="40" t="s">
        <v>42</v>
      </c>
      <c r="C26" s="40"/>
      <c r="D26" s="43">
        <v>0</v>
      </c>
      <c r="E26" s="43"/>
      <c r="F26" s="37">
        <f>F20</f>
        <v>700000</v>
      </c>
      <c r="G26" s="37"/>
    </row>
    <row r="27" spans="2:7" ht="21.75" customHeight="1" x14ac:dyDescent="0.2">
      <c r="B27" s="40" t="s">
        <v>43</v>
      </c>
      <c r="C27" s="40"/>
      <c r="D27" s="43">
        <f>(C8*C10)-C6</f>
        <v>3354144.9123421945</v>
      </c>
      <c r="E27" s="43"/>
      <c r="F27" s="37">
        <f>IFERROR(SUM('📅 Cronograma'!E6:E305),0)</f>
        <v>2872110.310978835</v>
      </c>
      <c r="G27" s="37"/>
    </row>
    <row r="28" spans="2:7" ht="21.75" customHeight="1" x14ac:dyDescent="0.2">
      <c r="B28" s="40" t="s">
        <v>44</v>
      </c>
      <c r="C28" s="40"/>
      <c r="D28" s="43">
        <f>C8*C10</f>
        <v>8354144.9123421945</v>
      </c>
      <c r="E28" s="43"/>
      <c r="F28" s="37">
        <f>IFERROR(SUM('📅 Cronograma'!D6:D305)+F20,0)</f>
        <v>7972110.3109788364</v>
      </c>
      <c r="G28" s="37"/>
    </row>
    <row r="30" spans="2:7" ht="27.75" customHeight="1" x14ac:dyDescent="0.2">
      <c r="B30" s="44" t="s">
        <v>45</v>
      </c>
      <c r="C30" s="44"/>
      <c r="D30" s="44"/>
      <c r="E30" s="44"/>
      <c r="F30" s="44"/>
      <c r="G30" s="44"/>
    </row>
    <row r="31" spans="2:7" ht="30" customHeight="1" x14ac:dyDescent="0.2">
      <c r="B31" s="45">
        <f>IFERROR(D27-F27,0)</f>
        <v>482034.60136335948</v>
      </c>
      <c r="C31" s="45"/>
      <c r="D31" s="45"/>
      <c r="E31" s="45"/>
      <c r="F31" s="45"/>
      <c r="G31" s="45"/>
    </row>
    <row r="32" spans="2:7" ht="30" customHeight="1" x14ac:dyDescent="0.2">
      <c r="B32" s="45"/>
      <c r="C32" s="45"/>
      <c r="D32" s="45"/>
      <c r="E32" s="45"/>
      <c r="F32" s="45"/>
      <c r="G32" s="45"/>
    </row>
    <row r="33" spans="2:7" ht="27.75" customHeight="1" x14ac:dyDescent="0.2">
      <c r="B33" s="46" t="str">
        <f>IF(D24-F24&gt;0,"Y terminas "&amp;TEXT(D24-F24,"0")&amp;" meses antes.","Sin meses ahorrados.")</f>
        <v>Y terminas 13 meses antes.</v>
      </c>
      <c r="C33" s="46"/>
      <c r="D33" s="46"/>
      <c r="E33" s="46"/>
      <c r="F33" s="46"/>
      <c r="G33" s="46"/>
    </row>
  </sheetData>
  <sheetProtection password="DEC2" sheet="1"/>
  <mergeCells count="49">
    <mergeCell ref="B30:G30"/>
    <mergeCell ref="B31:G32"/>
    <mergeCell ref="B33:G33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2:G22"/>
    <mergeCell ref="B23:C23"/>
    <mergeCell ref="D23:E23"/>
    <mergeCell ref="F23:G23"/>
    <mergeCell ref="B24:C24"/>
    <mergeCell ref="D24:E24"/>
    <mergeCell ref="F24:G24"/>
    <mergeCell ref="F16:G16"/>
    <mergeCell ref="F17:G17"/>
    <mergeCell ref="F18:G18"/>
    <mergeCell ref="F19:G19"/>
    <mergeCell ref="F20:G20"/>
    <mergeCell ref="C13:D13"/>
    <mergeCell ref="F13:G13"/>
    <mergeCell ref="C14:D14"/>
    <mergeCell ref="F14:G14"/>
    <mergeCell ref="F15:G15"/>
    <mergeCell ref="C10:D10"/>
    <mergeCell ref="F10:G10"/>
    <mergeCell ref="F11:G11"/>
    <mergeCell ref="B12:D12"/>
    <mergeCell ref="F12:G12"/>
    <mergeCell ref="C7:D7"/>
    <mergeCell ref="F7:G7"/>
    <mergeCell ref="C8:D8"/>
    <mergeCell ref="F8:G8"/>
    <mergeCell ref="C9:D9"/>
    <mergeCell ref="F9:G9"/>
    <mergeCell ref="B2:G2"/>
    <mergeCell ref="B3:G3"/>
    <mergeCell ref="B5:D5"/>
    <mergeCell ref="E5:G5"/>
    <mergeCell ref="C6:D6"/>
    <mergeCell ref="E6:G6"/>
  </mergeCells>
  <dataValidations count="1">
    <dataValidation type="list" sqref="C13" xr:uid="{00000000-0002-0000-0100-000000000000}">
      <formula1>"REDUCIR PLAZO,REDUCIR CUOTA"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307"/>
  <sheetViews>
    <sheetView showGridLines="0" tabSelected="1" topLeftCell="A52" zoomScaleNormal="100" workbookViewId="0"/>
  </sheetViews>
  <sheetFormatPr baseColWidth="10" defaultColWidth="8.6640625" defaultRowHeight="15" x14ac:dyDescent="0.2"/>
  <cols>
    <col min="1" max="1" width="3" customWidth="1"/>
    <col min="2" max="2" width="10" customWidth="1"/>
    <col min="3" max="8" width="19" customWidth="1"/>
  </cols>
  <sheetData>
    <row r="2" spans="2:8" ht="30" customHeight="1" x14ac:dyDescent="0.2">
      <c r="B2" s="47" t="s">
        <v>46</v>
      </c>
      <c r="C2" s="47"/>
      <c r="D2" s="47"/>
      <c r="E2" s="47"/>
      <c r="F2" s="47"/>
      <c r="G2" s="47"/>
      <c r="H2" s="47"/>
    </row>
    <row r="3" spans="2:8" ht="15" customHeight="1" x14ac:dyDescent="0.2">
      <c r="B3" s="4" t="s">
        <v>47</v>
      </c>
      <c r="C3" s="4"/>
      <c r="D3" s="4"/>
      <c r="E3" s="4"/>
      <c r="F3" s="4"/>
      <c r="G3" s="4"/>
      <c r="H3" s="4"/>
    </row>
    <row r="5" spans="2:8" ht="27.75" customHeight="1" x14ac:dyDescent="0.2">
      <c r="B5" s="22" t="s">
        <v>26</v>
      </c>
      <c r="C5" s="22" t="s">
        <v>48</v>
      </c>
      <c r="D5" s="22" t="s">
        <v>49</v>
      </c>
      <c r="E5" s="22" t="s">
        <v>50</v>
      </c>
      <c r="F5" s="22" t="s">
        <v>51</v>
      </c>
      <c r="G5" s="22" t="s">
        <v>52</v>
      </c>
      <c r="H5" s="22" t="s">
        <v>53</v>
      </c>
    </row>
    <row r="6" spans="2:8" x14ac:dyDescent="0.2">
      <c r="B6" s="23">
        <v>1</v>
      </c>
      <c r="C6" s="24">
        <f>'🔢 Simulador'!C6</f>
        <v>5000000</v>
      </c>
      <c r="D6" s="24">
        <f>IF(C6&lt;=0.01,0,IF('🔢 Simulador'!C13="REDUCIR PLAZO",MIN('🔢 Simulador'!C10, C6*(1+'🔢 Simulador'!C9)),MIN(IFERROR(PMT('🔢 Simulador'!C9,'🔢 Simulador'!C8-0,-C6),0), C6*(1+'🔢 Simulador'!C9))))</f>
        <v>87022.342836897864</v>
      </c>
      <c r="E6" s="25">
        <f>IF(C6&lt;=0.01,0,C6*'🔢 Simulador'!$C$9)</f>
        <v>58574.584599266898</v>
      </c>
      <c r="F6" s="26">
        <f t="shared" ref="F6:F69" si="0">MAX(0, D6-E6)</f>
        <v>28447.758237630966</v>
      </c>
      <c r="G6" s="27">
        <f>IFERROR(SUMIFS('🔢 Simulador'!$F$8:$F$19, '🔢 Simulador'!$E$8:$E$19, B6),0)</f>
        <v>0</v>
      </c>
      <c r="H6" s="28">
        <f t="shared" ref="H6:H69" si="1">MAX(0, C6-F6-G6)</f>
        <v>4971552.2417623689</v>
      </c>
    </row>
    <row r="7" spans="2:8" x14ac:dyDescent="0.2">
      <c r="B7" s="23">
        <v>2</v>
      </c>
      <c r="C7" s="24">
        <f t="shared" ref="C7:C70" si="2">IF(H6&lt;=0.01,0,H6)</f>
        <v>4971552.2417623689</v>
      </c>
      <c r="D7" s="24">
        <f>IF(C7&lt;=0.01,0,IF('🔢 Simulador'!C13="REDUCIR PLAZO",MIN('🔢 Simulador'!C10, C7*(1+'🔢 Simulador'!C9)),MIN(IFERROR(PMT('🔢 Simulador'!C9,'🔢 Simulador'!C8-1,-C7),0), C7*(1+'🔢 Simulador'!C9))))</f>
        <v>87022.342836897864</v>
      </c>
      <c r="E7" s="25">
        <f>IF(C7&lt;=0.01,0,C7*'🔢 Simulador'!$C$9)</f>
        <v>58241.321474956974</v>
      </c>
      <c r="F7" s="26">
        <f t="shared" si="0"/>
        <v>28781.02136194089</v>
      </c>
      <c r="G7" s="27">
        <f>IFERROR(SUMIFS('🔢 Simulador'!$F$8:$F$19, '🔢 Simulador'!$E$8:$E$19, B7),0)</f>
        <v>0</v>
      </c>
      <c r="H7" s="28">
        <f t="shared" si="1"/>
        <v>4942771.2204004284</v>
      </c>
    </row>
    <row r="8" spans="2:8" x14ac:dyDescent="0.2">
      <c r="B8" s="23">
        <v>3</v>
      </c>
      <c r="C8" s="24">
        <f t="shared" si="2"/>
        <v>4942771.2204004284</v>
      </c>
      <c r="D8" s="24">
        <f>IF(C8&lt;=0.01,0,IF('🔢 Simulador'!C13="REDUCIR PLAZO",MIN('🔢 Simulador'!C10, C8*(1+'🔢 Simulador'!C9)),MIN(IFERROR(PMT('🔢 Simulador'!C9,'🔢 Simulador'!C8-2,-C8),0), C8*(1+'🔢 Simulador'!C9))))</f>
        <v>87022.342836897864</v>
      </c>
      <c r="E8" s="25">
        <f>IF(C8&lt;=0.01,0,C8*'🔢 Simulador'!$C$9)</f>
        <v>57904.15420083332</v>
      </c>
      <c r="F8" s="26">
        <f t="shared" si="0"/>
        <v>29118.188636064544</v>
      </c>
      <c r="G8" s="27">
        <f>IFERROR(SUMIFS('🔢 Simulador'!$F$8:$F$19, '🔢 Simulador'!$E$8:$E$19, B8),0)</f>
        <v>0</v>
      </c>
      <c r="H8" s="28">
        <f t="shared" si="1"/>
        <v>4913653.0317643639</v>
      </c>
    </row>
    <row r="9" spans="2:8" x14ac:dyDescent="0.2">
      <c r="B9" s="23">
        <v>4</v>
      </c>
      <c r="C9" s="24">
        <f t="shared" si="2"/>
        <v>4913653.0317643639</v>
      </c>
      <c r="D9" s="24">
        <f>IF(C9&lt;=0.01,0,IF('🔢 Simulador'!C13="REDUCIR PLAZO",MIN('🔢 Simulador'!C10, C9*(1+'🔢 Simulador'!C9)),MIN(IFERROR(PMT('🔢 Simulador'!C9,'🔢 Simulador'!C8-3,-C9),0), C9*(1+'🔢 Simulador'!C9))))</f>
        <v>87022.342836897864</v>
      </c>
      <c r="E9" s="25">
        <f>IF(C9&lt;=0.01,0,C9*'🔢 Simulador'!$C$9)</f>
        <v>57563.037040105206</v>
      </c>
      <c r="F9" s="26">
        <f t="shared" si="0"/>
        <v>29459.305796792658</v>
      </c>
      <c r="G9" s="27">
        <f>IFERROR(SUMIFS('🔢 Simulador'!$F$8:$F$19, '🔢 Simulador'!$E$8:$E$19, B9),0)</f>
        <v>0</v>
      </c>
      <c r="H9" s="28">
        <f t="shared" si="1"/>
        <v>4884193.7259675711</v>
      </c>
    </row>
    <row r="10" spans="2:8" x14ac:dyDescent="0.2">
      <c r="B10" s="23">
        <v>5</v>
      </c>
      <c r="C10" s="24">
        <f t="shared" si="2"/>
        <v>4884193.7259675711</v>
      </c>
      <c r="D10" s="24">
        <f>IF(C10&lt;=0.01,0,IF('🔢 Simulador'!C13="REDUCIR PLAZO",MIN('🔢 Simulador'!C10, C10*(1+'🔢 Simulador'!C9)),MIN(IFERROR(PMT('🔢 Simulador'!C9,'🔢 Simulador'!C8-4,-C10),0), C10*(1+'🔢 Simulador'!C9))))</f>
        <v>87022.342836897864</v>
      </c>
      <c r="E10" s="25">
        <f>IF(C10&lt;=0.01,0,C10*'🔢 Simulador'!$C$9)</f>
        <v>57217.92372017922</v>
      </c>
      <c r="F10" s="26">
        <f t="shared" si="0"/>
        <v>29804.419116718644</v>
      </c>
      <c r="G10" s="27">
        <f>IFERROR(SUMIFS('🔢 Simulador'!$F$8:$F$19, '🔢 Simulador'!$E$8:$E$19, B10),0)</f>
        <v>0</v>
      </c>
      <c r="H10" s="28">
        <f t="shared" si="1"/>
        <v>4854389.3068508524</v>
      </c>
    </row>
    <row r="11" spans="2:8" x14ac:dyDescent="0.2">
      <c r="B11" s="23">
        <v>6</v>
      </c>
      <c r="C11" s="24">
        <f t="shared" si="2"/>
        <v>4854389.3068508524</v>
      </c>
      <c r="D11" s="24">
        <f>IF(C11&lt;=0.01,0,IF('🔢 Simulador'!C13="REDUCIR PLAZO",MIN('🔢 Simulador'!C10, C11*(1+'🔢 Simulador'!C9)),MIN(IFERROR(PMT('🔢 Simulador'!C9,'🔢 Simulador'!C8-5,-C11),0), C11*(1+'🔢 Simulador'!C9))))</f>
        <v>87022.342836897864</v>
      </c>
      <c r="E11" s="25">
        <f>IF(C11&lt;=0.01,0,C11*'🔢 Simulador'!$C$9)</f>
        <v>56868.767426382372</v>
      </c>
      <c r="F11" s="26">
        <f t="shared" si="0"/>
        <v>30153.575410515492</v>
      </c>
      <c r="G11" s="27">
        <f>IFERROR(SUMIFS('🔢 Simulador'!$F$8:$F$19, '🔢 Simulador'!$E$8:$E$19, B11),0)</f>
        <v>0</v>
      </c>
      <c r="H11" s="28">
        <f t="shared" si="1"/>
        <v>4824235.7314403374</v>
      </c>
    </row>
    <row r="12" spans="2:8" x14ac:dyDescent="0.2">
      <c r="B12" s="23">
        <v>7</v>
      </c>
      <c r="C12" s="24">
        <f t="shared" si="2"/>
        <v>4824235.7314403374</v>
      </c>
      <c r="D12" s="24">
        <f>IF(C12&lt;=0.01,0,IF('🔢 Simulador'!C13="REDUCIR PLAZO",MIN('🔢 Simulador'!C10, C12*(1+'🔢 Simulador'!C9)),MIN(IFERROR(PMT('🔢 Simulador'!C9,'🔢 Simulador'!C8-6,-C12),0), C12*(1+'🔢 Simulador'!C9))))</f>
        <v>87022.342836897864</v>
      </c>
      <c r="E12" s="25">
        <f>IF(C12&lt;=0.01,0,C12*'🔢 Simulador'!$C$9)</f>
        <v>56515.520795611657</v>
      </c>
      <c r="F12" s="26">
        <f t="shared" si="0"/>
        <v>30506.822041286207</v>
      </c>
      <c r="G12" s="27">
        <f>IFERROR(SUMIFS('🔢 Simulador'!$F$8:$F$19, '🔢 Simulador'!$E$8:$E$19, B12),0)</f>
        <v>0</v>
      </c>
      <c r="H12" s="28">
        <f t="shared" si="1"/>
        <v>4793728.9093990512</v>
      </c>
    </row>
    <row r="13" spans="2:8" x14ac:dyDescent="0.2">
      <c r="B13" s="23">
        <v>8</v>
      </c>
      <c r="C13" s="24">
        <f t="shared" si="2"/>
        <v>4793728.9093990512</v>
      </c>
      <c r="D13" s="24">
        <f>IF(C13&lt;=0.01,0,IF('🔢 Simulador'!C13="REDUCIR PLAZO",MIN('🔢 Simulador'!C10, C13*(1+'🔢 Simulador'!C9)),MIN(IFERROR(PMT('🔢 Simulador'!C9,'🔢 Simulador'!C8-7,-C13),0), C13*(1+'🔢 Simulador'!C9))))</f>
        <v>87022.342836897864</v>
      </c>
      <c r="E13" s="25">
        <f>IF(C13&lt;=0.01,0,C13*'🔢 Simulador'!$C$9)</f>
        <v>56158.135909909237</v>
      </c>
      <c r="F13" s="26">
        <f t="shared" si="0"/>
        <v>30864.206926988627</v>
      </c>
      <c r="G13" s="27">
        <f>IFERROR(SUMIFS('🔢 Simulador'!$F$8:$F$19, '🔢 Simulador'!$E$8:$E$19, B13),0)</f>
        <v>0</v>
      </c>
      <c r="H13" s="28">
        <f t="shared" si="1"/>
        <v>4762864.7024720628</v>
      </c>
    </row>
    <row r="14" spans="2:8" x14ac:dyDescent="0.2">
      <c r="B14" s="23">
        <v>9</v>
      </c>
      <c r="C14" s="24">
        <f t="shared" si="2"/>
        <v>4762864.7024720628</v>
      </c>
      <c r="D14" s="24">
        <f>IF(C14&lt;=0.01,0,IF('🔢 Simulador'!C13="REDUCIR PLAZO",MIN('🔢 Simulador'!C10, C14*(1+'🔢 Simulador'!C9)),MIN(IFERROR(PMT('🔢 Simulador'!C9,'🔢 Simulador'!C8-8,-C14),0), C14*(1+'🔢 Simulador'!C9))))</f>
        <v>87022.342836897864</v>
      </c>
      <c r="E14" s="25">
        <f>IF(C14&lt;=0.01,0,C14*'🔢 Simulador'!$C$9)</f>
        <v>55796.5642899624</v>
      </c>
      <c r="F14" s="26">
        <f t="shared" si="0"/>
        <v>31225.778546935464</v>
      </c>
      <c r="G14" s="27">
        <f>IFERROR(SUMIFS('🔢 Simulador'!$F$8:$F$19, '🔢 Simulador'!$E$8:$E$19, B14),0)</f>
        <v>0</v>
      </c>
      <c r="H14" s="28">
        <f t="shared" si="1"/>
        <v>4731638.9239251269</v>
      </c>
    </row>
    <row r="15" spans="2:8" x14ac:dyDescent="0.2">
      <c r="B15" s="23">
        <v>10</v>
      </c>
      <c r="C15" s="24">
        <f t="shared" si="2"/>
        <v>4731638.9239251269</v>
      </c>
      <c r="D15" s="24">
        <f>IF(C15&lt;=0.01,0,IF('🔢 Simulador'!C13="REDUCIR PLAZO",MIN('🔢 Simulador'!C10, C15*(1+'🔢 Simulador'!C9)),MIN(IFERROR(PMT('🔢 Simulador'!C9,'🔢 Simulador'!C8-9,-C15),0), C15*(1+'🔢 Simulador'!C9))))</f>
        <v>87022.342836897864</v>
      </c>
      <c r="E15" s="25">
        <f>IF(C15&lt;=0.01,0,C15*'🔢 Simulador'!$C$9)</f>
        <v>55430.756888527307</v>
      </c>
      <c r="F15" s="26">
        <f t="shared" si="0"/>
        <v>31591.585948370557</v>
      </c>
      <c r="G15" s="27">
        <f>IFERROR(SUMIFS('🔢 Simulador'!$F$8:$F$19, '🔢 Simulador'!$E$8:$E$19, B15),0)</f>
        <v>0</v>
      </c>
      <c r="H15" s="28">
        <f t="shared" si="1"/>
        <v>4700047.3379767565</v>
      </c>
    </row>
    <row r="16" spans="2:8" x14ac:dyDescent="0.2">
      <c r="B16" s="23">
        <v>11</v>
      </c>
      <c r="C16" s="24">
        <f t="shared" si="2"/>
        <v>4700047.3379767565</v>
      </c>
      <c r="D16" s="24">
        <f>IF(C16&lt;=0.01,0,IF('🔢 Simulador'!C13="REDUCIR PLAZO",MIN('🔢 Simulador'!C10, C16*(1+'🔢 Simulador'!C9)),MIN(IFERROR(PMT('🔢 Simulador'!C9,'🔢 Simulador'!C8-10,-C16),0), C16*(1+'🔢 Simulador'!C9))))</f>
        <v>87022.342836897864</v>
      </c>
      <c r="E16" s="25">
        <f>IF(C16&lt;=0.01,0,C16*'🔢 Simulador'!$C$9)</f>
        <v>55060.664083775744</v>
      </c>
      <c r="F16" s="26">
        <f t="shared" si="0"/>
        <v>31961.67875312212</v>
      </c>
      <c r="G16" s="27">
        <f>IFERROR(SUMIFS('🔢 Simulador'!$F$8:$F$19, '🔢 Simulador'!$E$8:$E$19, B16),0)</f>
        <v>0</v>
      </c>
      <c r="H16" s="28">
        <f t="shared" si="1"/>
        <v>4668085.6592236347</v>
      </c>
    </row>
    <row r="17" spans="2:8" x14ac:dyDescent="0.2">
      <c r="B17" s="23">
        <v>12</v>
      </c>
      <c r="C17" s="24">
        <f t="shared" si="2"/>
        <v>4668085.6592236347</v>
      </c>
      <c r="D17" s="24">
        <f>IF(C17&lt;=0.01,0,IF('🔢 Simulador'!C13="REDUCIR PLAZO",MIN('🔢 Simulador'!C10, C17*(1+'🔢 Simulador'!C9)),MIN(IFERROR(PMT('🔢 Simulador'!C9,'🔢 Simulador'!C8-11,-C17),0), C17*(1+'🔢 Simulador'!C9))))</f>
        <v>87022.342836897864</v>
      </c>
      <c r="E17" s="25">
        <f>IF(C17&lt;=0.01,0,C17*'🔢 Simulador'!$C$9)</f>
        <v>54686.235672563875</v>
      </c>
      <c r="F17" s="26">
        <f t="shared" si="0"/>
        <v>32336.107164333989</v>
      </c>
      <c r="G17" s="27">
        <f>IFERROR(SUMIFS('🔢 Simulador'!$F$8:$F$19, '🔢 Simulador'!$E$8:$E$19, B17),0)</f>
        <v>100000</v>
      </c>
      <c r="H17" s="28">
        <f t="shared" si="1"/>
        <v>4535749.5520593012</v>
      </c>
    </row>
    <row r="18" spans="2:8" x14ac:dyDescent="0.2">
      <c r="B18" s="23">
        <v>13</v>
      </c>
      <c r="C18" s="24">
        <f t="shared" si="2"/>
        <v>4535749.5520593012</v>
      </c>
      <c r="D18" s="24">
        <f>IF(C18&lt;=0.01,0,IF('🔢 Simulador'!C13="REDUCIR PLAZO",MIN('🔢 Simulador'!C10, C18*(1+'🔢 Simulador'!C9)),MIN(IFERROR(PMT('🔢 Simulador'!C9,'🔢 Simulador'!C8-12,-C18),0), C18*(1+'🔢 Simulador'!C9))))</f>
        <v>87022.342836897864</v>
      </c>
      <c r="E18" s="25">
        <f>IF(C18&lt;=0.01,0,C18*'🔢 Simulador'!$C$9)</f>
        <v>53135.929171636897</v>
      </c>
      <c r="F18" s="26">
        <f t="shared" si="0"/>
        <v>33886.413665260967</v>
      </c>
      <c r="G18" s="27">
        <f>IFERROR(SUMIFS('🔢 Simulador'!$F$8:$F$19, '🔢 Simulador'!$E$8:$E$19, B18),0)</f>
        <v>0</v>
      </c>
      <c r="H18" s="28">
        <f t="shared" si="1"/>
        <v>4501863.1383940401</v>
      </c>
    </row>
    <row r="19" spans="2:8" x14ac:dyDescent="0.2">
      <c r="B19" s="23">
        <v>14</v>
      </c>
      <c r="C19" s="24">
        <f t="shared" si="2"/>
        <v>4501863.1383940401</v>
      </c>
      <c r="D19" s="24">
        <f>IF(C19&lt;=0.01,0,IF('🔢 Simulador'!C13="REDUCIR PLAZO",MIN('🔢 Simulador'!C10, C19*(1+'🔢 Simulador'!C9)),MIN(IFERROR(PMT('🔢 Simulador'!C9,'🔢 Simulador'!C8-13,-C19),0), C19*(1+'🔢 Simulador'!C9))))</f>
        <v>87022.342836897864</v>
      </c>
      <c r="E19" s="25">
        <f>IF(C19&lt;=0.01,0,C19*'🔢 Simulador'!$C$9)</f>
        <v>52738.952650836574</v>
      </c>
      <c r="F19" s="26">
        <f t="shared" si="0"/>
        <v>34283.39018606129</v>
      </c>
      <c r="G19" s="27">
        <f>IFERROR(SUMIFS('🔢 Simulador'!$F$8:$F$19, '🔢 Simulador'!$E$8:$E$19, B19),0)</f>
        <v>0</v>
      </c>
      <c r="H19" s="28">
        <f t="shared" si="1"/>
        <v>4467579.7482079789</v>
      </c>
    </row>
    <row r="20" spans="2:8" x14ac:dyDescent="0.2">
      <c r="B20" s="23">
        <v>15</v>
      </c>
      <c r="C20" s="24">
        <f t="shared" si="2"/>
        <v>4467579.7482079789</v>
      </c>
      <c r="D20" s="24">
        <f>IF(C20&lt;=0.01,0,IF('🔢 Simulador'!C13="REDUCIR PLAZO",MIN('🔢 Simulador'!C10, C20*(1+'🔢 Simulador'!C9)),MIN(IFERROR(PMT('🔢 Simulador'!C9,'🔢 Simulador'!C8-14,-C20),0), C20*(1+'🔢 Simulador'!C9))))</f>
        <v>87022.342836897864</v>
      </c>
      <c r="E20" s="25">
        <f>IF(C20&lt;=0.01,0,C20*'🔢 Simulador'!$C$9)</f>
        <v>52337.325583075952</v>
      </c>
      <c r="F20" s="26">
        <f t="shared" si="0"/>
        <v>34685.017253821912</v>
      </c>
      <c r="G20" s="27">
        <f>IFERROR(SUMIFS('🔢 Simulador'!$F$8:$F$19, '🔢 Simulador'!$E$8:$E$19, B20),0)</f>
        <v>0</v>
      </c>
      <c r="H20" s="28">
        <f t="shared" si="1"/>
        <v>4432894.7309541572</v>
      </c>
    </row>
    <row r="21" spans="2:8" x14ac:dyDescent="0.2">
      <c r="B21" s="23">
        <v>16</v>
      </c>
      <c r="C21" s="24">
        <f t="shared" si="2"/>
        <v>4432894.7309541572</v>
      </c>
      <c r="D21" s="24">
        <f>IF(C21&lt;=0.01,0,IF('🔢 Simulador'!C13="REDUCIR PLAZO",MIN('🔢 Simulador'!C10, C21*(1+'🔢 Simulador'!C9)),MIN(IFERROR(PMT('🔢 Simulador'!C9,'🔢 Simulador'!C8-15,-C21),0), C21*(1+'🔢 Simulador'!C9))))</f>
        <v>87022.342836897864</v>
      </c>
      <c r="E21" s="25">
        <f>IF(C21&lt;=0.01,0,C21*'🔢 Simulador'!$C$9)</f>
        <v>51930.99348758375</v>
      </c>
      <c r="F21" s="26">
        <f t="shared" si="0"/>
        <v>35091.349349314114</v>
      </c>
      <c r="G21" s="27">
        <f>IFERROR(SUMIFS('🔢 Simulador'!$F$8:$F$19, '🔢 Simulador'!$E$8:$E$19, B21),0)</f>
        <v>0</v>
      </c>
      <c r="H21" s="28">
        <f t="shared" si="1"/>
        <v>4397803.3816048428</v>
      </c>
    </row>
    <row r="22" spans="2:8" x14ac:dyDescent="0.2">
      <c r="B22" s="23">
        <v>17</v>
      </c>
      <c r="C22" s="24">
        <f t="shared" si="2"/>
        <v>4397803.3816048428</v>
      </c>
      <c r="D22" s="24">
        <f>IF(C22&lt;=0.01,0,IF('🔢 Simulador'!C13="REDUCIR PLAZO",MIN('🔢 Simulador'!C10, C22*(1+'🔢 Simulador'!C9)),MIN(IFERROR(PMT('🔢 Simulador'!C9,'🔢 Simulador'!C8-16,-C22),0), C22*(1+'🔢 Simulador'!C9))))</f>
        <v>87022.342836897864</v>
      </c>
      <c r="E22" s="25">
        <f>IF(C22&lt;=0.01,0,C22*'🔢 Simulador'!$C$9)</f>
        <v>51519.901245350986</v>
      </c>
      <c r="F22" s="26">
        <f t="shared" si="0"/>
        <v>35502.441591546878</v>
      </c>
      <c r="G22" s="27">
        <f>IFERROR(SUMIFS('🔢 Simulador'!$F$8:$F$19, '🔢 Simulador'!$E$8:$E$19, B22),0)</f>
        <v>0</v>
      </c>
      <c r="H22" s="28">
        <f t="shared" si="1"/>
        <v>4362300.940013296</v>
      </c>
    </row>
    <row r="23" spans="2:8" x14ac:dyDescent="0.2">
      <c r="B23" s="23">
        <v>18</v>
      </c>
      <c r="C23" s="24">
        <f t="shared" si="2"/>
        <v>4362300.940013296</v>
      </c>
      <c r="D23" s="24">
        <f>IF(C23&lt;=0.01,0,IF('🔢 Simulador'!C13="REDUCIR PLAZO",MIN('🔢 Simulador'!C10, C23*(1+'🔢 Simulador'!C9)),MIN(IFERROR(PMT('🔢 Simulador'!C9,'🔢 Simulador'!C8-17,-C23),0), C23*(1+'🔢 Simulador'!C9))))</f>
        <v>87022.342836897864</v>
      </c>
      <c r="E23" s="25">
        <f>IF(C23&lt;=0.01,0,C23*'🔢 Simulador'!$C$9)</f>
        <v>51103.993091654062</v>
      </c>
      <c r="F23" s="26">
        <f t="shared" si="0"/>
        <v>35918.349745243802</v>
      </c>
      <c r="G23" s="27">
        <f>IFERROR(SUMIFS('🔢 Simulador'!$F$8:$F$19, '🔢 Simulador'!$E$8:$E$19, B23),0)</f>
        <v>0</v>
      </c>
      <c r="H23" s="28">
        <f t="shared" si="1"/>
        <v>4326382.5902680522</v>
      </c>
    </row>
    <row r="24" spans="2:8" x14ac:dyDescent="0.2">
      <c r="B24" s="23">
        <v>19</v>
      </c>
      <c r="C24" s="24">
        <f t="shared" si="2"/>
        <v>4326382.5902680522</v>
      </c>
      <c r="D24" s="24">
        <f>IF(C24&lt;=0.01,0,IF('🔢 Simulador'!C13="REDUCIR PLAZO",MIN('🔢 Simulador'!C10, C24*(1+'🔢 Simulador'!C9)),MIN(IFERROR(PMT('🔢 Simulador'!C9,'🔢 Simulador'!C8-18,-C24),0), C24*(1+'🔢 Simulador'!C9))))</f>
        <v>87022.342836897864</v>
      </c>
      <c r="E24" s="25">
        <f>IF(C24&lt;=0.01,0,C24*'🔢 Simulador'!$C$9)</f>
        <v>50683.212608490299</v>
      </c>
      <c r="F24" s="26">
        <f t="shared" si="0"/>
        <v>36339.130228407565</v>
      </c>
      <c r="G24" s="27">
        <f>IFERROR(SUMIFS('🔢 Simulador'!$F$8:$F$19, '🔢 Simulador'!$E$8:$E$19, B24),0)</f>
        <v>0</v>
      </c>
      <c r="H24" s="28">
        <f t="shared" si="1"/>
        <v>4290043.4600396445</v>
      </c>
    </row>
    <row r="25" spans="2:8" x14ac:dyDescent="0.2">
      <c r="B25" s="23">
        <v>20</v>
      </c>
      <c r="C25" s="24">
        <f t="shared" si="2"/>
        <v>4290043.4600396445</v>
      </c>
      <c r="D25" s="24">
        <f>IF(C25&lt;=0.01,0,IF('🔢 Simulador'!C13="REDUCIR PLAZO",MIN('🔢 Simulador'!C10, C25*(1+'🔢 Simulador'!C9)),MIN(IFERROR(PMT('🔢 Simulador'!C9,'🔢 Simulador'!C8-19,-C25),0), C25*(1+'🔢 Simulador'!C9))))</f>
        <v>87022.342836897864</v>
      </c>
      <c r="E25" s="25">
        <f>IF(C25&lt;=0.01,0,C25*'🔢 Simulador'!$C$9)</f>
        <v>50257.50271692477</v>
      </c>
      <c r="F25" s="26">
        <f t="shared" si="0"/>
        <v>36764.840119973094</v>
      </c>
      <c r="G25" s="27">
        <f>IFERROR(SUMIFS('🔢 Simulador'!$F$8:$F$19, '🔢 Simulador'!$E$8:$E$19, B25),0)</f>
        <v>0</v>
      </c>
      <c r="H25" s="28">
        <f t="shared" si="1"/>
        <v>4253278.6199196717</v>
      </c>
    </row>
    <row r="26" spans="2:8" x14ac:dyDescent="0.2">
      <c r="B26" s="23">
        <v>21</v>
      </c>
      <c r="C26" s="24">
        <f t="shared" si="2"/>
        <v>4253278.6199196717</v>
      </c>
      <c r="D26" s="24">
        <f>IF(C26&lt;=0.01,0,IF('🔢 Simulador'!C13="REDUCIR PLAZO",MIN('🔢 Simulador'!C10, C26*(1+'🔢 Simulador'!C9)),MIN(IFERROR(PMT('🔢 Simulador'!C9,'🔢 Simulador'!C8-20,-C26),0), C26*(1+'🔢 Simulador'!C9))))</f>
        <v>87022.342836897864</v>
      </c>
      <c r="E26" s="25">
        <f>IF(C26&lt;=0.01,0,C26*'🔢 Simulador'!$C$9)</f>
        <v>49826.805669347596</v>
      </c>
      <c r="F26" s="26">
        <f t="shared" si="0"/>
        <v>37195.537167550268</v>
      </c>
      <c r="G26" s="27">
        <f>IFERROR(SUMIFS('🔢 Simulador'!$F$8:$F$19, '🔢 Simulador'!$E$8:$E$19, B26),0)</f>
        <v>0</v>
      </c>
      <c r="H26" s="28">
        <f t="shared" si="1"/>
        <v>4216083.0827521216</v>
      </c>
    </row>
    <row r="27" spans="2:8" x14ac:dyDescent="0.2">
      <c r="B27" s="23">
        <v>22</v>
      </c>
      <c r="C27" s="24">
        <f t="shared" si="2"/>
        <v>4216083.0827521216</v>
      </c>
      <c r="D27" s="24">
        <f>IF(C27&lt;=0.01,0,IF('🔢 Simulador'!C13="REDUCIR PLAZO",MIN('🔢 Simulador'!C10, C27*(1+'🔢 Simulador'!C9)),MIN(IFERROR(PMT('🔢 Simulador'!C9,'🔢 Simulador'!C8-21,-C27),0), C27*(1+'🔢 Simulador'!C9))))</f>
        <v>87022.342836897864</v>
      </c>
      <c r="E27" s="25">
        <f>IF(C27&lt;=0.01,0,C27*'🔢 Simulador'!$C$9)</f>
        <v>49391.063041640424</v>
      </c>
      <c r="F27" s="26">
        <f t="shared" si="0"/>
        <v>37631.27979525744</v>
      </c>
      <c r="G27" s="27">
        <f>IFERROR(SUMIFS('🔢 Simulador'!$F$8:$F$19, '🔢 Simulador'!$E$8:$E$19, B27),0)</f>
        <v>0</v>
      </c>
      <c r="H27" s="28">
        <f t="shared" si="1"/>
        <v>4178451.8029568642</v>
      </c>
    </row>
    <row r="28" spans="2:8" x14ac:dyDescent="0.2">
      <c r="B28" s="23">
        <v>23</v>
      </c>
      <c r="C28" s="24">
        <f t="shared" si="2"/>
        <v>4178451.8029568642</v>
      </c>
      <c r="D28" s="24">
        <f>IF(C28&lt;=0.01,0,IF('🔢 Simulador'!C13="REDUCIR PLAZO",MIN('🔢 Simulador'!C10, C28*(1+'🔢 Simulador'!C9)),MIN(IFERROR(PMT('🔢 Simulador'!C9,'🔢 Simulador'!C8-22,-C28),0), C28*(1+'🔢 Simulador'!C9))))</f>
        <v>87022.342836897864</v>
      </c>
      <c r="E28" s="25">
        <f>IF(C28&lt;=0.01,0,C28*'🔢 Simulador'!$C$9)</f>
        <v>48950.215725251226</v>
      </c>
      <c r="F28" s="26">
        <f t="shared" si="0"/>
        <v>38072.127111646638</v>
      </c>
      <c r="G28" s="27">
        <f>IFERROR(SUMIFS('🔢 Simulador'!$F$8:$F$19, '🔢 Simulador'!$E$8:$E$19, B28),0)</f>
        <v>0</v>
      </c>
      <c r="H28" s="28">
        <f t="shared" si="1"/>
        <v>4140379.6758452174</v>
      </c>
    </row>
    <row r="29" spans="2:8" x14ac:dyDescent="0.2">
      <c r="B29" s="23">
        <v>24</v>
      </c>
      <c r="C29" s="24">
        <f t="shared" si="2"/>
        <v>4140379.6758452174</v>
      </c>
      <c r="D29" s="24">
        <f>IF(C29&lt;=0.01,0,IF('🔢 Simulador'!C13="REDUCIR PLAZO",MIN('🔢 Simulador'!C10, C29*(1+'🔢 Simulador'!C9)),MIN(IFERROR(PMT('🔢 Simulador'!C9,'🔢 Simulador'!C8-23,-C29),0), C29*(1+'🔢 Simulador'!C9))))</f>
        <v>87022.342836897864</v>
      </c>
      <c r="E29" s="25">
        <f>IF(C29&lt;=0.01,0,C29*'🔢 Simulador'!$C$9)</f>
        <v>48504.203919176187</v>
      </c>
      <c r="F29" s="26">
        <f t="shared" si="0"/>
        <v>38518.138917721677</v>
      </c>
      <c r="G29" s="27">
        <f>IFERROR(SUMIFS('🔢 Simulador'!$F$8:$F$19, '🔢 Simulador'!$E$8:$E$19, B29),0)</f>
        <v>100000</v>
      </c>
      <c r="H29" s="28">
        <f t="shared" si="1"/>
        <v>4001861.5369274956</v>
      </c>
    </row>
    <row r="30" spans="2:8" x14ac:dyDescent="0.2">
      <c r="B30" s="23">
        <v>25</v>
      </c>
      <c r="C30" s="24">
        <f t="shared" si="2"/>
        <v>4001861.5369274956</v>
      </c>
      <c r="D30" s="24">
        <f>IF(C30&lt;=0.01,0,IF('🔢 Simulador'!C13="REDUCIR PLAZO",MIN('🔢 Simulador'!C10, C30*(1+'🔢 Simulador'!C9)),MIN(IFERROR(PMT('🔢 Simulador'!C9,'🔢 Simulador'!C8-24,-C30),0), C30*(1+'🔢 Simulador'!C9))))</f>
        <v>87022.342836897864</v>
      </c>
      <c r="E30" s="25">
        <f>IF(C30&lt;=0.01,0,C30*'🔢 Simulador'!$C$9)</f>
        <v>46881.475429862367</v>
      </c>
      <c r="F30" s="26">
        <f t="shared" si="0"/>
        <v>40140.867407035497</v>
      </c>
      <c r="G30" s="27">
        <f>IFERROR(SUMIFS('🔢 Simulador'!$F$8:$F$19, '🔢 Simulador'!$E$8:$E$19, B30),0)</f>
        <v>0</v>
      </c>
      <c r="H30" s="28">
        <f t="shared" si="1"/>
        <v>3961720.6695204601</v>
      </c>
    </row>
    <row r="31" spans="2:8" x14ac:dyDescent="0.2">
      <c r="B31" s="23">
        <v>26</v>
      </c>
      <c r="C31" s="24">
        <f t="shared" si="2"/>
        <v>3961720.6695204601</v>
      </c>
      <c r="D31" s="24">
        <f>IF(C31&lt;=0.01,0,IF('🔢 Simulador'!C13="REDUCIR PLAZO",MIN('🔢 Simulador'!C10, C31*(1+'🔢 Simulador'!C9)),MIN(IFERROR(PMT('🔢 Simulador'!C9,'🔢 Simulador'!C8-25,-C31),0), C31*(1+'🔢 Simulador'!C9))))</f>
        <v>87022.342836897864</v>
      </c>
      <c r="E31" s="25">
        <f>IF(C31&lt;=0.01,0,C31*'🔢 Simulador'!$C$9)</f>
        <v>46411.2285030981</v>
      </c>
      <c r="F31" s="26">
        <f t="shared" si="0"/>
        <v>40611.114333799764</v>
      </c>
      <c r="G31" s="27">
        <f>IFERROR(SUMIFS('🔢 Simulador'!$F$8:$F$19, '🔢 Simulador'!$E$8:$E$19, B31),0)</f>
        <v>0</v>
      </c>
      <c r="H31" s="28">
        <f t="shared" si="1"/>
        <v>3921109.5551866605</v>
      </c>
    </row>
    <row r="32" spans="2:8" x14ac:dyDescent="0.2">
      <c r="B32" s="23">
        <v>27</v>
      </c>
      <c r="C32" s="24">
        <f t="shared" si="2"/>
        <v>3921109.5551866605</v>
      </c>
      <c r="D32" s="24">
        <f>IF(C32&lt;=0.01,0,IF('🔢 Simulador'!C13="REDUCIR PLAZO",MIN('🔢 Simulador'!C10, C32*(1+'🔢 Simulador'!C9)),MIN(IFERROR(PMT('🔢 Simulador'!C9,'🔢 Simulador'!C8-26,-C32),0), C32*(1+'🔢 Simulador'!C9))))</f>
        <v>87022.342836897864</v>
      </c>
      <c r="E32" s="25">
        <f>IF(C32&lt;=0.01,0,C32*'🔢 Simulador'!$C$9)</f>
        <v>45935.472672654971</v>
      </c>
      <c r="F32" s="26">
        <f t="shared" si="0"/>
        <v>41086.870164242893</v>
      </c>
      <c r="G32" s="27">
        <f>IFERROR(SUMIFS('🔢 Simulador'!$F$8:$F$19, '🔢 Simulador'!$E$8:$E$19, B32),0)</f>
        <v>0</v>
      </c>
      <c r="H32" s="28">
        <f t="shared" si="1"/>
        <v>3880022.6850224175</v>
      </c>
    </row>
    <row r="33" spans="2:8" x14ac:dyDescent="0.2">
      <c r="B33" s="23">
        <v>28</v>
      </c>
      <c r="C33" s="24">
        <f t="shared" si="2"/>
        <v>3880022.6850224175</v>
      </c>
      <c r="D33" s="24">
        <f>IF(C33&lt;=0.01,0,IF('🔢 Simulador'!C13="REDUCIR PLAZO",MIN('🔢 Simulador'!C10, C33*(1+'🔢 Simulador'!C9)),MIN(IFERROR(PMT('🔢 Simulador'!C9,'🔢 Simulador'!C8-27,-C33),0), C33*(1+'🔢 Simulador'!C9))))</f>
        <v>87022.342836897864</v>
      </c>
      <c r="E33" s="25">
        <f>IF(C33&lt;=0.01,0,C33*'🔢 Simulador'!$C$9)</f>
        <v>45454.143402184061</v>
      </c>
      <c r="F33" s="26">
        <f t="shared" si="0"/>
        <v>41568.199434713802</v>
      </c>
      <c r="G33" s="27">
        <f>IFERROR(SUMIFS('🔢 Simulador'!$F$8:$F$19, '🔢 Simulador'!$E$8:$E$19, B33),0)</f>
        <v>0</v>
      </c>
      <c r="H33" s="28">
        <f t="shared" si="1"/>
        <v>3838454.4855877035</v>
      </c>
    </row>
    <row r="34" spans="2:8" x14ac:dyDescent="0.2">
      <c r="B34" s="23">
        <v>29</v>
      </c>
      <c r="C34" s="24">
        <f t="shared" si="2"/>
        <v>3838454.4855877035</v>
      </c>
      <c r="D34" s="24">
        <f>IF(C34&lt;=0.01,0,IF('🔢 Simulador'!C13="REDUCIR PLAZO",MIN('🔢 Simulador'!C10, C34*(1+'🔢 Simulador'!C9)),MIN(IFERROR(PMT('🔢 Simulador'!C9,'🔢 Simulador'!C8-28,-C34),0), C34*(1+'🔢 Simulador'!C9))))</f>
        <v>87022.342836897864</v>
      </c>
      <c r="E34" s="25">
        <f>IF(C34&lt;=0.01,0,C34*'🔢 Simulador'!$C$9)</f>
        <v>44967.175399298489</v>
      </c>
      <c r="F34" s="26">
        <f t="shared" si="0"/>
        <v>42055.167437599375</v>
      </c>
      <c r="G34" s="27">
        <f>IFERROR(SUMIFS('🔢 Simulador'!$F$8:$F$19, '🔢 Simulador'!$E$8:$E$19, B34),0)</f>
        <v>0</v>
      </c>
      <c r="H34" s="28">
        <f t="shared" si="1"/>
        <v>3796399.318150104</v>
      </c>
    </row>
    <row r="35" spans="2:8" x14ac:dyDescent="0.2">
      <c r="B35" s="23">
        <v>30</v>
      </c>
      <c r="C35" s="24">
        <f t="shared" si="2"/>
        <v>3796399.318150104</v>
      </c>
      <c r="D35" s="24">
        <f>IF(C35&lt;=0.01,0,IF('🔢 Simulador'!C13="REDUCIR PLAZO",MIN('🔢 Simulador'!C10, C35*(1+'🔢 Simulador'!C9)),MIN(IFERROR(PMT('🔢 Simulador'!C9,'🔢 Simulador'!C8-29,-C35),0), C35*(1+'🔢 Simulador'!C9))))</f>
        <v>87022.342836897864</v>
      </c>
      <c r="E35" s="25">
        <f>IF(C35&lt;=0.01,0,C35*'🔢 Simulador'!$C$9)</f>
        <v>44474.502606716487</v>
      </c>
      <c r="F35" s="26">
        <f t="shared" si="0"/>
        <v>42547.840230181377</v>
      </c>
      <c r="G35" s="27">
        <f>IFERROR(SUMIFS('🔢 Simulador'!$F$8:$F$19, '🔢 Simulador'!$E$8:$E$19, B35),0)</f>
        <v>0</v>
      </c>
      <c r="H35" s="28">
        <f t="shared" si="1"/>
        <v>3753851.4779199227</v>
      </c>
    </row>
    <row r="36" spans="2:8" x14ac:dyDescent="0.2">
      <c r="B36" s="23">
        <v>31</v>
      </c>
      <c r="C36" s="24">
        <f t="shared" si="2"/>
        <v>3753851.4779199227</v>
      </c>
      <c r="D36" s="24">
        <f>IF(C36&lt;=0.01,0,IF('🔢 Simulador'!C13="REDUCIR PLAZO",MIN('🔢 Simulador'!C10, C36*(1+'🔢 Simulador'!C9)),MIN(IFERROR(PMT('🔢 Simulador'!C9,'🔢 Simulador'!C8-30,-C36),0), C36*(1+'🔢 Simulador'!C9))))</f>
        <v>87022.342836897864</v>
      </c>
      <c r="E36" s="25">
        <f>IF(C36&lt;=0.01,0,C36*'🔢 Simulador'!$C$9)</f>
        <v>43976.05819330072</v>
      </c>
      <c r="F36" s="26">
        <f t="shared" si="0"/>
        <v>43046.284643597144</v>
      </c>
      <c r="G36" s="27">
        <f>IFERROR(SUMIFS('🔢 Simulador'!$F$8:$F$19, '🔢 Simulador'!$E$8:$E$19, B36),0)</f>
        <v>0</v>
      </c>
      <c r="H36" s="28">
        <f t="shared" si="1"/>
        <v>3710805.1932763257</v>
      </c>
    </row>
    <row r="37" spans="2:8" x14ac:dyDescent="0.2">
      <c r="B37" s="23">
        <v>32</v>
      </c>
      <c r="C37" s="24">
        <f t="shared" si="2"/>
        <v>3710805.1932763257</v>
      </c>
      <c r="D37" s="24">
        <f>IF(C37&lt;=0.01,0,IF('🔢 Simulador'!C13="REDUCIR PLAZO",MIN('🔢 Simulador'!C10, C37*(1+'🔢 Simulador'!C9)),MIN(IFERROR(PMT('🔢 Simulador'!C9,'🔢 Simulador'!C8-31,-C37),0), C37*(1+'🔢 Simulador'!C9))))</f>
        <v>87022.342836897864</v>
      </c>
      <c r="E37" s="25">
        <f>IF(C37&lt;=0.01,0,C37*'🔢 Simulador'!$C$9)</f>
        <v>43471.774544992622</v>
      </c>
      <c r="F37" s="26">
        <f t="shared" si="0"/>
        <v>43550.568291905241</v>
      </c>
      <c r="G37" s="27">
        <f>IFERROR(SUMIFS('🔢 Simulador'!$F$8:$F$19, '🔢 Simulador'!$E$8:$E$19, B37),0)</f>
        <v>0</v>
      </c>
      <c r="H37" s="28">
        <f t="shared" si="1"/>
        <v>3667254.6249844204</v>
      </c>
    </row>
    <row r="38" spans="2:8" x14ac:dyDescent="0.2">
      <c r="B38" s="23">
        <v>33</v>
      </c>
      <c r="C38" s="24">
        <f t="shared" si="2"/>
        <v>3667254.6249844204</v>
      </c>
      <c r="D38" s="24">
        <f>IF(C38&lt;=0.01,0,IF('🔢 Simulador'!C13="REDUCIR PLAZO",MIN('🔢 Simulador'!C10, C38*(1+'🔢 Simulador'!C9)),MIN(IFERROR(PMT('🔢 Simulador'!C9,'🔢 Simulador'!C8-32,-C38),0), C38*(1+'🔢 Simulador'!C9))))</f>
        <v>87022.342836897864</v>
      </c>
      <c r="E38" s="25">
        <f>IF(C38&lt;=0.01,0,C38*'🔢 Simulador'!$C$9)</f>
        <v>42961.583255640544</v>
      </c>
      <c r="F38" s="26">
        <f t="shared" si="0"/>
        <v>44060.75958125732</v>
      </c>
      <c r="G38" s="27">
        <f>IFERROR(SUMIFS('🔢 Simulador'!$F$8:$F$19, '🔢 Simulador'!$E$8:$E$19, B38),0)</f>
        <v>0</v>
      </c>
      <c r="H38" s="28">
        <f t="shared" si="1"/>
        <v>3623193.8654031632</v>
      </c>
    </row>
    <row r="39" spans="2:8" x14ac:dyDescent="0.2">
      <c r="B39" s="23">
        <v>34</v>
      </c>
      <c r="C39" s="24">
        <f t="shared" si="2"/>
        <v>3623193.8654031632</v>
      </c>
      <c r="D39" s="24">
        <f>IF(C39&lt;=0.01,0,IF('🔢 Simulador'!C13="REDUCIR PLAZO",MIN('🔢 Simulador'!C10, C39*(1+'🔢 Simulador'!C9)),MIN(IFERROR(PMT('🔢 Simulador'!C9,'🔢 Simulador'!C8-33,-C39),0), C39*(1+'🔢 Simulador'!C9))))</f>
        <v>87022.342836897864</v>
      </c>
      <c r="E39" s="25">
        <f>IF(C39&lt;=0.01,0,C39*'🔢 Simulador'!$C$9)</f>
        <v>42445.415117720484</v>
      </c>
      <c r="F39" s="26">
        <f t="shared" si="0"/>
        <v>44576.92771917738</v>
      </c>
      <c r="G39" s="27">
        <f>IFERROR(SUMIFS('🔢 Simulador'!$F$8:$F$19, '🔢 Simulador'!$E$8:$E$19, B39),0)</f>
        <v>0</v>
      </c>
      <c r="H39" s="28">
        <f t="shared" si="1"/>
        <v>3578616.937683986</v>
      </c>
    </row>
    <row r="40" spans="2:8" x14ac:dyDescent="0.2">
      <c r="B40" s="23">
        <v>35</v>
      </c>
      <c r="C40" s="24">
        <f t="shared" si="2"/>
        <v>3578616.937683986</v>
      </c>
      <c r="D40" s="24">
        <f>IF(C40&lt;=0.01,0,IF('🔢 Simulador'!C13="REDUCIR PLAZO",MIN('🔢 Simulador'!C10, C40*(1+'🔢 Simulador'!C9)),MIN(IFERROR(PMT('🔢 Simulador'!C9,'🔢 Simulador'!C8-34,-C40),0), C40*(1+'🔢 Simulador'!C9))))</f>
        <v>87022.342836897864</v>
      </c>
      <c r="E40" s="25">
        <f>IF(C40&lt;=0.01,0,C40*'🔢 Simulador'!$C$9)</f>
        <v>41923.20011294802</v>
      </c>
      <c r="F40" s="26">
        <f t="shared" si="0"/>
        <v>45099.142723949844</v>
      </c>
      <c r="G40" s="27">
        <f>IFERROR(SUMIFS('🔢 Simulador'!$F$8:$F$19, '🔢 Simulador'!$E$8:$E$19, B40),0)</f>
        <v>0</v>
      </c>
      <c r="H40" s="28">
        <f t="shared" si="1"/>
        <v>3533517.7949600364</v>
      </c>
    </row>
    <row r="41" spans="2:8" x14ac:dyDescent="0.2">
      <c r="B41" s="23">
        <v>36</v>
      </c>
      <c r="C41" s="24">
        <f t="shared" si="2"/>
        <v>3533517.7949600364</v>
      </c>
      <c r="D41" s="24">
        <f>IF(C41&lt;=0.01,0,IF('🔢 Simulador'!C13="REDUCIR PLAZO",MIN('🔢 Simulador'!C10, C41*(1+'🔢 Simulador'!C9)),MIN(IFERROR(PMT('🔢 Simulador'!C9,'🔢 Simulador'!C8-35,-C41),0), C41*(1+'🔢 Simulador'!C9))))</f>
        <v>87022.342836897864</v>
      </c>
      <c r="E41" s="25">
        <f>IF(C41&lt;=0.01,0,C41*'🔢 Simulador'!$C$9)</f>
        <v>41394.867402780335</v>
      </c>
      <c r="F41" s="26">
        <f t="shared" si="0"/>
        <v>45627.475434117528</v>
      </c>
      <c r="G41" s="27">
        <f>IFERROR(SUMIFS('🔢 Simulador'!$F$8:$F$19, '🔢 Simulador'!$E$8:$E$19, B41),0)</f>
        <v>100000</v>
      </c>
      <c r="H41" s="28">
        <f t="shared" si="1"/>
        <v>3387890.3195259189</v>
      </c>
    </row>
    <row r="42" spans="2:8" x14ac:dyDescent="0.2">
      <c r="B42" s="23">
        <v>37</v>
      </c>
      <c r="C42" s="24">
        <f t="shared" si="2"/>
        <v>3387890.3195259189</v>
      </c>
      <c r="D42" s="24">
        <f>IF(C42&lt;=0.01,0,IF('🔢 Simulador'!C13="REDUCIR PLAZO",MIN('🔢 Simulador'!C10, C42*(1+'🔢 Simulador'!C9)),MIN(IFERROR(PMT('🔢 Simulador'!C9,'🔢 Simulador'!C8-36,-C42),0), C42*(1+'🔢 Simulador'!C9))))</f>
        <v>87022.342836897864</v>
      </c>
      <c r="E42" s="25">
        <f>IF(C42&lt;=0.01,0,C42*'🔢 Simulador'!$C$9)</f>
        <v>39688.853626821663</v>
      </c>
      <c r="F42" s="26">
        <f t="shared" si="0"/>
        <v>47333.489210076201</v>
      </c>
      <c r="G42" s="27">
        <f>IFERROR(SUMIFS('🔢 Simulador'!$F$8:$F$19, '🔢 Simulador'!$E$8:$E$19, B42),0)</f>
        <v>0</v>
      </c>
      <c r="H42" s="28">
        <f t="shared" si="1"/>
        <v>3340556.8303158428</v>
      </c>
    </row>
    <row r="43" spans="2:8" x14ac:dyDescent="0.2">
      <c r="B43" s="23">
        <v>38</v>
      </c>
      <c r="C43" s="24">
        <f t="shared" si="2"/>
        <v>3340556.8303158428</v>
      </c>
      <c r="D43" s="24">
        <f>IF(C43&lt;=0.01,0,IF('🔢 Simulador'!C13="REDUCIR PLAZO",MIN('🔢 Simulador'!C10, C43*(1+'🔢 Simulador'!C9)),MIN(IFERROR(PMT('🔢 Simulador'!C9,'🔢 Simulador'!C8-37,-C43),0), C43*(1+'🔢 Simulador'!C9))))</f>
        <v>87022.342836897864</v>
      </c>
      <c r="E43" s="25">
        <f>IF(C43&lt;=0.01,0,C43*'🔢 Simulador'!$C$9)</f>
        <v>39134.345733198839</v>
      </c>
      <c r="F43" s="26">
        <f t="shared" si="0"/>
        <v>47887.997103699025</v>
      </c>
      <c r="G43" s="27">
        <f>IFERROR(SUMIFS('🔢 Simulador'!$F$8:$F$19, '🔢 Simulador'!$E$8:$E$19, B43),0)</f>
        <v>0</v>
      </c>
      <c r="H43" s="28">
        <f t="shared" si="1"/>
        <v>3292668.8332121437</v>
      </c>
    </row>
    <row r="44" spans="2:8" x14ac:dyDescent="0.2">
      <c r="B44" s="23">
        <v>39</v>
      </c>
      <c r="C44" s="24">
        <f t="shared" si="2"/>
        <v>3292668.8332121437</v>
      </c>
      <c r="D44" s="24">
        <f>IF(C44&lt;=0.01,0,IF('🔢 Simulador'!C13="REDUCIR PLAZO",MIN('🔢 Simulador'!C10, C44*(1+'🔢 Simulador'!C9)),MIN(IFERROR(PMT('🔢 Simulador'!C9,'🔢 Simulador'!C8-38,-C44),0), C44*(1+'🔢 Simulador'!C9))))</f>
        <v>87022.342836897864</v>
      </c>
      <c r="E44" s="25">
        <f>IF(C44&lt;=0.01,0,C44*'🔢 Simulador'!$C$9)</f>
        <v>38573.341825670832</v>
      </c>
      <c r="F44" s="26">
        <f t="shared" si="0"/>
        <v>48449.001011227032</v>
      </c>
      <c r="G44" s="27">
        <f>IFERROR(SUMIFS('🔢 Simulador'!$F$8:$F$19, '🔢 Simulador'!$E$8:$E$19, B44),0)</f>
        <v>0</v>
      </c>
      <c r="H44" s="28">
        <f t="shared" si="1"/>
        <v>3244219.8322009165</v>
      </c>
    </row>
    <row r="45" spans="2:8" x14ac:dyDescent="0.2">
      <c r="B45" s="23">
        <v>40</v>
      </c>
      <c r="C45" s="24">
        <f t="shared" si="2"/>
        <v>3244219.8322009165</v>
      </c>
      <c r="D45" s="24">
        <f>IF(C45&lt;=0.01,0,IF('🔢 Simulador'!C13="REDUCIR PLAZO",MIN('🔢 Simulador'!C10, C45*(1+'🔢 Simulador'!C9)),MIN(IFERROR(PMT('🔢 Simulador'!C9,'🔢 Simulador'!C8-39,-C45),0), C45*(1+'🔢 Simulador'!C9))))</f>
        <v>87022.342836897864</v>
      </c>
      <c r="E45" s="25">
        <f>IF(C45&lt;=0.01,0,C45*'🔢 Simulador'!$C$9)</f>
        <v>38005.765803974406</v>
      </c>
      <c r="F45" s="26">
        <f t="shared" si="0"/>
        <v>49016.577032923458</v>
      </c>
      <c r="G45" s="27">
        <f>IFERROR(SUMIFS('🔢 Simulador'!$F$8:$F$19, '🔢 Simulador'!$E$8:$E$19, B45),0)</f>
        <v>0</v>
      </c>
      <c r="H45" s="28">
        <f t="shared" si="1"/>
        <v>3195203.2551679933</v>
      </c>
    </row>
    <row r="46" spans="2:8" x14ac:dyDescent="0.2">
      <c r="B46" s="23">
        <v>41</v>
      </c>
      <c r="C46" s="24">
        <f t="shared" si="2"/>
        <v>3195203.2551679933</v>
      </c>
      <c r="D46" s="24">
        <f>IF(C46&lt;=0.01,0,IF('🔢 Simulador'!C13="REDUCIR PLAZO",MIN('🔢 Simulador'!C10, C46*(1+'🔢 Simulador'!C9)),MIN(IFERROR(PMT('🔢 Simulador'!C9,'🔢 Simulador'!C8-40,-C46),0), C46*(1+'🔢 Simulador'!C9))))</f>
        <v>87022.342836897864</v>
      </c>
      <c r="E46" s="25">
        <f>IF(C46&lt;=0.01,0,C46*'🔢 Simulador'!$C$9)</f>
        <v>37431.540676338118</v>
      </c>
      <c r="F46" s="26">
        <f t="shared" si="0"/>
        <v>49590.802160559746</v>
      </c>
      <c r="G46" s="27">
        <f>IFERROR(SUMIFS('🔢 Simulador'!$F$8:$F$19, '🔢 Simulador'!$E$8:$E$19, B46),0)</f>
        <v>0</v>
      </c>
      <c r="H46" s="28">
        <f t="shared" si="1"/>
        <v>3145612.4530074336</v>
      </c>
    </row>
    <row r="47" spans="2:8" x14ac:dyDescent="0.2">
      <c r="B47" s="23">
        <v>42</v>
      </c>
      <c r="C47" s="24">
        <f t="shared" si="2"/>
        <v>3145612.4530074336</v>
      </c>
      <c r="D47" s="24">
        <f>IF(C47&lt;=0.01,0,IF('🔢 Simulador'!C13="REDUCIR PLAZO",MIN('🔢 Simulador'!C10, C47*(1+'🔢 Simulador'!C9)),MIN(IFERROR(PMT('🔢 Simulador'!C9,'🔢 Simulador'!C8-41,-C47),0), C47*(1+'🔢 Simulador'!C9))))</f>
        <v>87022.342836897864</v>
      </c>
      <c r="E47" s="25">
        <f>IF(C47&lt;=0.01,0,C47*'🔢 Simulador'!$C$9)</f>
        <v>36850.588549038279</v>
      </c>
      <c r="F47" s="26">
        <f t="shared" si="0"/>
        <v>50171.754287859585</v>
      </c>
      <c r="G47" s="27">
        <f>IFERROR(SUMIFS('🔢 Simulador'!$F$8:$F$19, '🔢 Simulador'!$E$8:$E$19, B47),0)</f>
        <v>0</v>
      </c>
      <c r="H47" s="28">
        <f t="shared" si="1"/>
        <v>3095440.6987195741</v>
      </c>
    </row>
    <row r="48" spans="2:8" x14ac:dyDescent="0.2">
      <c r="B48" s="23">
        <v>43</v>
      </c>
      <c r="C48" s="24">
        <f t="shared" si="2"/>
        <v>3095440.6987195741</v>
      </c>
      <c r="D48" s="24">
        <f>IF(C48&lt;=0.01,0,IF('🔢 Simulador'!C13="REDUCIR PLAZO",MIN('🔢 Simulador'!C10, C48*(1+'🔢 Simulador'!C9)),MIN(IFERROR(PMT('🔢 Simulador'!C9,'🔢 Simulador'!C8-42,-C48),0), C48*(1+'🔢 Simulador'!C9))))</f>
        <v>87022.342836897864</v>
      </c>
      <c r="E48" s="25">
        <f>IF(C48&lt;=0.01,0,C48*'🔢 Simulador'!$C$9)</f>
        <v>36262.83061583271</v>
      </c>
      <c r="F48" s="26">
        <f t="shared" si="0"/>
        <v>50759.512221065153</v>
      </c>
      <c r="G48" s="27">
        <f>IFERROR(SUMIFS('🔢 Simulador'!$F$8:$F$19, '🔢 Simulador'!$E$8:$E$19, B48),0)</f>
        <v>0</v>
      </c>
      <c r="H48" s="28">
        <f t="shared" si="1"/>
        <v>3044681.1864985088</v>
      </c>
    </row>
    <row r="49" spans="2:8" x14ac:dyDescent="0.2">
      <c r="B49" s="23">
        <v>44</v>
      </c>
      <c r="C49" s="24">
        <f t="shared" si="2"/>
        <v>3044681.1864985088</v>
      </c>
      <c r="D49" s="24">
        <f>IF(C49&lt;=0.01,0,IF('🔢 Simulador'!C13="REDUCIR PLAZO",MIN('🔢 Simulador'!C10, C49*(1+'🔢 Simulador'!C9)),MIN(IFERROR(PMT('🔢 Simulador'!C9,'🔢 Simulador'!C8-43,-C49),0), C49*(1+'🔢 Simulador'!C9))))</f>
        <v>87022.342836897864</v>
      </c>
      <c r="E49" s="25">
        <f>IF(C49&lt;=0.01,0,C49*'🔢 Simulador'!$C$9)</f>
        <v>35668.187147270648</v>
      </c>
      <c r="F49" s="26">
        <f t="shared" si="0"/>
        <v>51354.155689627216</v>
      </c>
      <c r="G49" s="27">
        <f>IFERROR(SUMIFS('🔢 Simulador'!$F$8:$F$19, '🔢 Simulador'!$E$8:$E$19, B49),0)</f>
        <v>0</v>
      </c>
      <c r="H49" s="28">
        <f t="shared" si="1"/>
        <v>2993327.0308088814</v>
      </c>
    </row>
    <row r="50" spans="2:8" x14ac:dyDescent="0.2">
      <c r="B50" s="23">
        <v>45</v>
      </c>
      <c r="C50" s="24">
        <f t="shared" si="2"/>
        <v>2993327.0308088814</v>
      </c>
      <c r="D50" s="24">
        <f>IF(C50&lt;=0.01,0,IF('🔢 Simulador'!C13="REDUCIR PLAZO",MIN('🔢 Simulador'!C10, C50*(1+'🔢 Simulador'!C9)),MIN(IFERROR(PMT('🔢 Simulador'!C9,'🔢 Simulador'!C8-44,-C50),0), C50*(1+'🔢 Simulador'!C9))))</f>
        <v>87022.342836897864</v>
      </c>
      <c r="E50" s="25">
        <f>IF(C50&lt;=0.01,0,C50*'🔢 Simulador'!$C$9)</f>
        <v>35066.577479877444</v>
      </c>
      <c r="F50" s="26">
        <f t="shared" si="0"/>
        <v>51955.76535702042</v>
      </c>
      <c r="G50" s="27">
        <f>IFERROR(SUMIFS('🔢 Simulador'!$F$8:$F$19, '🔢 Simulador'!$E$8:$E$19, B50),0)</f>
        <v>0</v>
      </c>
      <c r="H50" s="28">
        <f t="shared" si="1"/>
        <v>2941371.2654518611</v>
      </c>
    </row>
    <row r="51" spans="2:8" x14ac:dyDescent="0.2">
      <c r="B51" s="23">
        <v>46</v>
      </c>
      <c r="C51" s="24">
        <f t="shared" si="2"/>
        <v>2941371.2654518611</v>
      </c>
      <c r="D51" s="24">
        <f>IF(C51&lt;=0.01,0,IF('🔢 Simulador'!C13="REDUCIR PLAZO",MIN('🔢 Simulador'!C10, C51*(1+'🔢 Simulador'!C9)),MIN(IFERROR(PMT('🔢 Simulador'!C9,'🔢 Simulador'!C8-45,-C51),0), C51*(1+'🔢 Simulador'!C9))))</f>
        <v>87022.342836897864</v>
      </c>
      <c r="E51" s="25">
        <f>IF(C51&lt;=0.01,0,C51*'🔢 Simulador'!$C$9)</f>
        <v>34457.920005212552</v>
      </c>
      <c r="F51" s="26">
        <f t="shared" si="0"/>
        <v>52564.422831685311</v>
      </c>
      <c r="G51" s="27">
        <f>IFERROR(SUMIFS('🔢 Simulador'!$F$8:$F$19, '🔢 Simulador'!$E$8:$E$19, B51),0)</f>
        <v>0</v>
      </c>
      <c r="H51" s="28">
        <f t="shared" si="1"/>
        <v>2888806.8426201758</v>
      </c>
    </row>
    <row r="52" spans="2:8" x14ac:dyDescent="0.2">
      <c r="B52" s="23">
        <v>47</v>
      </c>
      <c r="C52" s="24">
        <f t="shared" si="2"/>
        <v>2888806.8426201758</v>
      </c>
      <c r="D52" s="24">
        <f>IF(C52&lt;=0.01,0,IF('🔢 Simulador'!C13="REDUCIR PLAZO",MIN('🔢 Simulador'!C10, C52*(1+'🔢 Simulador'!C9)),MIN(IFERROR(PMT('🔢 Simulador'!C9,'🔢 Simulador'!C8-46,-C52),0), C52*(1+'🔢 Simulador'!C9))))</f>
        <v>87022.342836897864</v>
      </c>
      <c r="E52" s="25">
        <f>IF(C52&lt;=0.01,0,C52*'🔢 Simulador'!$C$9)</f>
        <v>33842.132158799315</v>
      </c>
      <c r="F52" s="26">
        <f t="shared" si="0"/>
        <v>53180.210678098549</v>
      </c>
      <c r="G52" s="27">
        <f>IFERROR(SUMIFS('🔢 Simulador'!$F$8:$F$19, '🔢 Simulador'!$E$8:$E$19, B52),0)</f>
        <v>0</v>
      </c>
      <c r="H52" s="28">
        <f t="shared" si="1"/>
        <v>2835626.6319420771</v>
      </c>
    </row>
    <row r="53" spans="2:8" x14ac:dyDescent="0.2">
      <c r="B53" s="23">
        <v>48</v>
      </c>
      <c r="C53" s="24">
        <f t="shared" si="2"/>
        <v>2835626.6319420771</v>
      </c>
      <c r="D53" s="24">
        <f>IF(C53&lt;=0.01,0,IF('🔢 Simulador'!C13="REDUCIR PLAZO",MIN('🔢 Simulador'!C10, C53*(1+'🔢 Simulador'!C9)),MIN(IFERROR(PMT('🔢 Simulador'!C9,'🔢 Simulador'!C8-47,-C53),0), C53*(1+'🔢 Simulador'!C9))))</f>
        <v>87022.342836897864</v>
      </c>
      <c r="E53" s="25">
        <f>IF(C53&lt;=0.01,0,C53*'🔢 Simulador'!$C$9)</f>
        <v>33219.130408925092</v>
      </c>
      <c r="F53" s="26">
        <f t="shared" si="0"/>
        <v>53803.212427972772</v>
      </c>
      <c r="G53" s="27">
        <f>IFERROR(SUMIFS('🔢 Simulador'!$F$8:$F$19, '🔢 Simulador'!$E$8:$E$19, B53),0)</f>
        <v>100000</v>
      </c>
      <c r="H53" s="28">
        <f t="shared" si="1"/>
        <v>2681823.4195141043</v>
      </c>
    </row>
    <row r="54" spans="2:8" x14ac:dyDescent="0.2">
      <c r="B54" s="23">
        <v>49</v>
      </c>
      <c r="C54" s="24">
        <f t="shared" si="2"/>
        <v>2681823.4195141043</v>
      </c>
      <c r="D54" s="24">
        <f>IF(C54&lt;=0.01,0,IF('🔢 Simulador'!C13="REDUCIR PLAZO",MIN('🔢 Simulador'!C10, C54*(1+'🔢 Simulador'!C9)),MIN(IFERROR(PMT('🔢 Simulador'!C9,'🔢 Simulador'!C8-48,-C54),0), C54*(1+'🔢 Simulador'!C9))))</f>
        <v>87022.342836897864</v>
      </c>
      <c r="E54" s="25">
        <f>IF(C54&lt;=0.01,0,C54*'🔢 Simulador'!$C$9)</f>
        <v>31417.338553324829</v>
      </c>
      <c r="F54" s="26">
        <f t="shared" si="0"/>
        <v>55605.004283573035</v>
      </c>
      <c r="G54" s="27">
        <f>IFERROR(SUMIFS('🔢 Simulador'!$F$8:$F$19, '🔢 Simulador'!$E$8:$E$19, B54),0)</f>
        <v>0</v>
      </c>
      <c r="H54" s="28">
        <f t="shared" si="1"/>
        <v>2626218.4152305312</v>
      </c>
    </row>
    <row r="55" spans="2:8" x14ac:dyDescent="0.2">
      <c r="B55" s="23">
        <v>50</v>
      </c>
      <c r="C55" s="24">
        <f t="shared" si="2"/>
        <v>2626218.4152305312</v>
      </c>
      <c r="D55" s="24">
        <f>IF(C55&lt;=0.01,0,IF('🔢 Simulador'!C13="REDUCIR PLAZO",MIN('🔢 Simulador'!C10, C55*(1+'🔢 Simulador'!C9)),MIN(IFERROR(PMT('🔢 Simulador'!C9,'🔢 Simulador'!C8-49,-C55),0), C55*(1+'🔢 Simulador'!C9))))</f>
        <v>87022.342836897864</v>
      </c>
      <c r="E55" s="25">
        <f>IF(C55&lt;=0.01,0,C55*'🔢 Simulador'!$C$9)</f>
        <v>30765.930547814678</v>
      </c>
      <c r="F55" s="26">
        <f t="shared" si="0"/>
        <v>56256.412289083186</v>
      </c>
      <c r="G55" s="27">
        <f>IFERROR(SUMIFS('🔢 Simulador'!$F$8:$F$19, '🔢 Simulador'!$E$8:$E$19, B55),0)</f>
        <v>0</v>
      </c>
      <c r="H55" s="28">
        <f t="shared" si="1"/>
        <v>2569962.0029414482</v>
      </c>
    </row>
    <row r="56" spans="2:8" x14ac:dyDescent="0.2">
      <c r="B56" s="23">
        <v>51</v>
      </c>
      <c r="C56" s="24">
        <f t="shared" si="2"/>
        <v>2569962.0029414482</v>
      </c>
      <c r="D56" s="24">
        <f>IF(C56&lt;=0.01,0,IF('🔢 Simulador'!C13="REDUCIR PLAZO",MIN('🔢 Simulador'!C10, C56*(1+'🔢 Simulador'!C9)),MIN(IFERROR(PMT('🔢 Simulador'!C9,'🔢 Simulador'!C8-50,-C56),0), C56*(1+'🔢 Simulador'!C9))))</f>
        <v>87022.342836897864</v>
      </c>
      <c r="E56" s="25">
        <f>IF(C56&lt;=0.01,0,C56*'🔢 Simulador'!$C$9)</f>
        <v>30106.891351639053</v>
      </c>
      <c r="F56" s="26">
        <f t="shared" si="0"/>
        <v>56915.451485258811</v>
      </c>
      <c r="G56" s="27">
        <f>IFERROR(SUMIFS('🔢 Simulador'!$F$8:$F$19, '🔢 Simulador'!$E$8:$E$19, B56),0)</f>
        <v>0</v>
      </c>
      <c r="H56" s="28">
        <f t="shared" si="1"/>
        <v>2513046.5514561892</v>
      </c>
    </row>
    <row r="57" spans="2:8" x14ac:dyDescent="0.2">
      <c r="B57" s="23">
        <v>52</v>
      </c>
      <c r="C57" s="24">
        <f t="shared" si="2"/>
        <v>2513046.5514561892</v>
      </c>
      <c r="D57" s="24">
        <f>IF(C57&lt;=0.01,0,IF('🔢 Simulador'!C13="REDUCIR PLAZO",MIN('🔢 Simulador'!C10, C57*(1+'🔢 Simulador'!C9)),MIN(IFERROR(PMT('🔢 Simulador'!C9,'🔢 Simulador'!C8-51,-C57),0), C57*(1+'🔢 Simulador'!C9))))</f>
        <v>87022.342836897864</v>
      </c>
      <c r="E57" s="25">
        <f>IF(C57&lt;=0.01,0,C57*'🔢 Simulador'!$C$9)</f>
        <v>29440.131566033298</v>
      </c>
      <c r="F57" s="26">
        <f t="shared" si="0"/>
        <v>57582.211270864565</v>
      </c>
      <c r="G57" s="27">
        <f>IFERROR(SUMIFS('🔢 Simulador'!$F$8:$F$19, '🔢 Simulador'!$E$8:$E$19, B57),0)</f>
        <v>0</v>
      </c>
      <c r="H57" s="28">
        <f t="shared" si="1"/>
        <v>2455464.3401853247</v>
      </c>
    </row>
    <row r="58" spans="2:8" x14ac:dyDescent="0.2">
      <c r="B58" s="23">
        <v>53</v>
      </c>
      <c r="C58" s="24">
        <f t="shared" si="2"/>
        <v>2455464.3401853247</v>
      </c>
      <c r="D58" s="24">
        <f>IF(C58&lt;=0.01,0,IF('🔢 Simulador'!C13="REDUCIR PLAZO",MIN('🔢 Simulador'!C10, C58*(1+'🔢 Simulador'!C9)),MIN(IFERROR(PMT('🔢 Simulador'!C9,'🔢 Simulador'!C8-52,-C58),0), C58*(1+'🔢 Simulador'!C9))))</f>
        <v>87022.342836897864</v>
      </c>
      <c r="E58" s="25">
        <f>IF(C58&lt;=0.01,0,C58*'🔢 Simulador'!$C$9)</f>
        <v>28765.560744933675</v>
      </c>
      <c r="F58" s="26">
        <f t="shared" si="0"/>
        <v>58256.782091964189</v>
      </c>
      <c r="G58" s="27">
        <f>IFERROR(SUMIFS('🔢 Simulador'!$F$8:$F$19, '🔢 Simulador'!$E$8:$E$19, B58),0)</f>
        <v>0</v>
      </c>
      <c r="H58" s="28">
        <f t="shared" si="1"/>
        <v>2397207.5580933606</v>
      </c>
    </row>
    <row r="59" spans="2:8" x14ac:dyDescent="0.2">
      <c r="B59" s="23">
        <v>54</v>
      </c>
      <c r="C59" s="24">
        <f t="shared" si="2"/>
        <v>2397207.5580933606</v>
      </c>
      <c r="D59" s="24">
        <f>IF(C59&lt;=0.01,0,IF('🔢 Simulador'!C13="REDUCIR PLAZO",MIN('🔢 Simulador'!C10, C59*(1+'🔢 Simulador'!C9)),MIN(IFERROR(PMT('🔢 Simulador'!C9,'🔢 Simulador'!C8-53,-C59),0), C59*(1+'🔢 Simulador'!C9))))</f>
        <v>87022.342836897864</v>
      </c>
      <c r="E59" s="25">
        <f>IF(C59&lt;=0.01,0,C59*'🔢 Simulador'!$C$9)</f>
        <v>28083.087382708316</v>
      </c>
      <c r="F59" s="26">
        <f t="shared" si="0"/>
        <v>58939.255454189552</v>
      </c>
      <c r="G59" s="27">
        <f>IFERROR(SUMIFS('🔢 Simulador'!$F$8:$F$19, '🔢 Simulador'!$E$8:$E$19, B59),0)</f>
        <v>0</v>
      </c>
      <c r="H59" s="28">
        <f t="shared" si="1"/>
        <v>2338268.302639171</v>
      </c>
    </row>
    <row r="60" spans="2:8" x14ac:dyDescent="0.2">
      <c r="B60" s="23">
        <v>55</v>
      </c>
      <c r="C60" s="24">
        <f t="shared" si="2"/>
        <v>2338268.302639171</v>
      </c>
      <c r="D60" s="24">
        <f>IF(C60&lt;=0.01,0,IF('🔢 Simulador'!C13="REDUCIR PLAZO",MIN('🔢 Simulador'!C10, C60*(1+'🔢 Simulador'!C9)),MIN(IFERROR(PMT('🔢 Simulador'!C9,'🔢 Simulador'!C8-54,-C60),0), C60*(1+'🔢 Simulador'!C9))))</f>
        <v>87022.342836897864</v>
      </c>
      <c r="E60" s="25">
        <f>IF(C60&lt;=0.01,0,C60*'🔢 Simulador'!$C$9)</f>
        <v>27392.618901744467</v>
      </c>
      <c r="F60" s="26">
        <f t="shared" si="0"/>
        <v>59629.723935153394</v>
      </c>
      <c r="G60" s="27">
        <f>IFERROR(SUMIFS('🔢 Simulador'!$F$8:$F$19, '🔢 Simulador'!$E$8:$E$19, B60),0)</f>
        <v>0</v>
      </c>
      <c r="H60" s="28">
        <f t="shared" si="1"/>
        <v>2278638.5787040177</v>
      </c>
    </row>
    <row r="61" spans="2:8" x14ac:dyDescent="0.2">
      <c r="B61" s="23">
        <v>56</v>
      </c>
      <c r="C61" s="24">
        <f t="shared" si="2"/>
        <v>2278638.5787040177</v>
      </c>
      <c r="D61" s="24">
        <f>IF(C61&lt;=0.01,0,IF('🔢 Simulador'!C13="REDUCIR PLAZO",MIN('🔢 Simulador'!C10, C61*(1+'🔢 Simulador'!C9)),MIN(IFERROR(PMT('🔢 Simulador'!C9,'🔢 Simulador'!C8-55,-C61),0), C61*(1+'🔢 Simulador'!C9))))</f>
        <v>87022.342836897864</v>
      </c>
      <c r="E61" s="25">
        <f>IF(C61&lt;=0.01,0,C61*'🔢 Simulador'!$C$9)</f>
        <v>26694.061639890355</v>
      </c>
      <c r="F61" s="26">
        <f t="shared" si="0"/>
        <v>60328.281197007513</v>
      </c>
      <c r="G61" s="27">
        <f>IFERROR(SUMIFS('🔢 Simulador'!$F$8:$F$19, '🔢 Simulador'!$E$8:$E$19, B61),0)</f>
        <v>0</v>
      </c>
      <c r="H61" s="28">
        <f t="shared" si="1"/>
        <v>2218310.2975070104</v>
      </c>
    </row>
    <row r="62" spans="2:8" x14ac:dyDescent="0.2">
      <c r="B62" s="23">
        <v>57</v>
      </c>
      <c r="C62" s="24">
        <f t="shared" si="2"/>
        <v>2218310.2975070104</v>
      </c>
      <c r="D62" s="24">
        <f>IF(C62&lt;=0.01,0,IF('🔢 Simulador'!C13="REDUCIR PLAZO",MIN('🔢 Simulador'!C10, C62*(1+'🔢 Simulador'!C9)),MIN(IFERROR(PMT('🔢 Simulador'!C9,'🔢 Simulador'!C8-56,-C62),0), C62*(1+'🔢 Simulador'!C9))))</f>
        <v>87022.342836897864</v>
      </c>
      <c r="E62" s="25">
        <f>IF(C62&lt;=0.01,0,C62*'🔢 Simulador'!$C$9)</f>
        <v>25987.320837749859</v>
      </c>
      <c r="F62" s="26">
        <f t="shared" si="0"/>
        <v>61035.021999148004</v>
      </c>
      <c r="G62" s="27">
        <f>IFERROR(SUMIFS('🔢 Simulador'!$F$8:$F$19, '🔢 Simulador'!$E$8:$E$19, B62),0)</f>
        <v>0</v>
      </c>
      <c r="H62" s="28">
        <f t="shared" si="1"/>
        <v>2157275.2755078622</v>
      </c>
    </row>
    <row r="63" spans="2:8" x14ac:dyDescent="0.2">
      <c r="B63" s="23">
        <v>58</v>
      </c>
      <c r="C63" s="24">
        <f t="shared" si="2"/>
        <v>2157275.2755078622</v>
      </c>
      <c r="D63" s="24">
        <f>IF(C63&lt;=0.01,0,IF('🔢 Simulador'!C13="REDUCIR PLAZO",MIN('🔢 Simulador'!C10, C63*(1+'🔢 Simulador'!C9)),MIN(IFERROR(PMT('🔢 Simulador'!C9,'🔢 Simulador'!C8-57,-C63),0), C63*(1+'🔢 Simulador'!C9))))</f>
        <v>87022.342836897864</v>
      </c>
      <c r="E63" s="25">
        <f>IF(C63&lt;=0.01,0,C63*'🔢 Simulador'!$C$9)</f>
        <v>25272.300625828415</v>
      </c>
      <c r="F63" s="26">
        <f t="shared" si="0"/>
        <v>61750.042211069449</v>
      </c>
      <c r="G63" s="27">
        <f>IFERROR(SUMIFS('🔢 Simulador'!$F$8:$F$19, '🔢 Simulador'!$E$8:$E$19, B63),0)</f>
        <v>0</v>
      </c>
      <c r="H63" s="28">
        <f t="shared" si="1"/>
        <v>2095525.2332967927</v>
      </c>
    </row>
    <row r="64" spans="2:8" x14ac:dyDescent="0.2">
      <c r="B64" s="23">
        <v>59</v>
      </c>
      <c r="C64" s="24">
        <f t="shared" si="2"/>
        <v>2095525.2332967927</v>
      </c>
      <c r="D64" s="24">
        <f>IF(C64&lt;=0.01,0,IF('🔢 Simulador'!C13="REDUCIR PLAZO",MIN('🔢 Simulador'!C10, C64*(1+'🔢 Simulador'!C9)),MIN(IFERROR(PMT('🔢 Simulador'!C9,'🔢 Simulador'!C8-58,-C64),0), C64*(1+'🔢 Simulador'!C9))))</f>
        <v>87022.342836897864</v>
      </c>
      <c r="E64" s="25">
        <f>IF(C64&lt;=0.01,0,C64*'🔢 Simulador'!$C$9)</f>
        <v>24548.904011528299</v>
      </c>
      <c r="F64" s="26">
        <f t="shared" si="0"/>
        <v>62473.438825369565</v>
      </c>
      <c r="G64" s="27">
        <f>IFERROR(SUMIFS('🔢 Simulador'!$F$8:$F$19, '🔢 Simulador'!$E$8:$E$19, B64),0)</f>
        <v>0</v>
      </c>
      <c r="H64" s="28">
        <f t="shared" si="1"/>
        <v>2033051.7944714231</v>
      </c>
    </row>
    <row r="65" spans="2:8" x14ac:dyDescent="0.2">
      <c r="B65" s="23">
        <v>60</v>
      </c>
      <c r="C65" s="24">
        <f t="shared" si="2"/>
        <v>2033051.7944714231</v>
      </c>
      <c r="D65" s="24">
        <f>IF(C65&lt;=0.01,0,IF('🔢 Simulador'!C13="REDUCIR PLAZO",MIN('🔢 Simulador'!C10, C65*(1+'🔢 Simulador'!C9)),MIN(IFERROR(PMT('🔢 Simulador'!C9,'🔢 Simulador'!C8-59,-C65),0), C65*(1+'🔢 Simulador'!C9))))</f>
        <v>87022.342836897864</v>
      </c>
      <c r="E65" s="25">
        <f>IF(C65&lt;=0.01,0,C65*'🔢 Simulador'!$C$9)</f>
        <v>23817.03286599155</v>
      </c>
      <c r="F65" s="26">
        <f t="shared" si="0"/>
        <v>63205.30997090631</v>
      </c>
      <c r="G65" s="27">
        <f>IFERROR(SUMIFS('🔢 Simulador'!$F$8:$F$19, '🔢 Simulador'!$E$8:$E$19, B65),0)</f>
        <v>100000</v>
      </c>
      <c r="H65" s="28">
        <f t="shared" si="1"/>
        <v>1869846.4845005169</v>
      </c>
    </row>
    <row r="66" spans="2:8" x14ac:dyDescent="0.2">
      <c r="B66" s="23">
        <v>61</v>
      </c>
      <c r="C66" s="24">
        <f t="shared" si="2"/>
        <v>1869846.4845005169</v>
      </c>
      <c r="D66" s="24">
        <f>IF(C66&lt;=0.01,0,IF('🔢 Simulador'!C13="REDUCIR PLAZO",MIN('🔢 Simulador'!C10, C66*(1+'🔢 Simulador'!C9)),MIN(IFERROR(PMT('🔢 Simulador'!C9,'🔢 Simulador'!C8-60,-C66),0), C66*(1+'🔢 Simulador'!C9))))</f>
        <v>87022.342836897864</v>
      </c>
      <c r="E66" s="25">
        <f>IF(C66&lt;=0.01,0,C66*'🔢 Simulador'!$C$9)</f>
        <v>21905.096218803465</v>
      </c>
      <c r="F66" s="26">
        <f t="shared" si="0"/>
        <v>65117.246618094403</v>
      </c>
      <c r="G66" s="27">
        <f>IFERROR(SUMIFS('🔢 Simulador'!$F$8:$F$19, '🔢 Simulador'!$E$8:$E$19, B66),0)</f>
        <v>0</v>
      </c>
      <c r="H66" s="28">
        <f t="shared" si="1"/>
        <v>1804729.2378824225</v>
      </c>
    </row>
    <row r="67" spans="2:8" x14ac:dyDescent="0.2">
      <c r="B67" s="23">
        <v>62</v>
      </c>
      <c r="C67" s="24">
        <f t="shared" si="2"/>
        <v>1804729.2378824225</v>
      </c>
      <c r="D67" s="24">
        <f>IF(C67&lt;=0.01,0,IF('🔢 Simulador'!C13="REDUCIR PLAZO",MIN('🔢 Simulador'!C10, C67*(1+'🔢 Simulador'!C9)),MIN(IFERROR(PMT('🔢 Simulador'!C9,'🔢 Simulador'!C8-61,-C67),0), C67*(1+'🔢 Simulador'!C9))))</f>
        <v>87022.342836897864</v>
      </c>
      <c r="E67" s="25">
        <f>IF(C67&lt;=0.01,0,C67*'🔢 Simulador'!$C$9)</f>
        <v>21142.253084622887</v>
      </c>
      <c r="F67" s="26">
        <f t="shared" si="0"/>
        <v>65880.089752274973</v>
      </c>
      <c r="G67" s="27">
        <f>IFERROR(SUMIFS('🔢 Simulador'!$F$8:$F$19, '🔢 Simulador'!$E$8:$E$19, B67),0)</f>
        <v>0</v>
      </c>
      <c r="H67" s="28">
        <f t="shared" si="1"/>
        <v>1738849.1481301475</v>
      </c>
    </row>
    <row r="68" spans="2:8" x14ac:dyDescent="0.2">
      <c r="B68" s="23">
        <v>63</v>
      </c>
      <c r="C68" s="24">
        <f t="shared" si="2"/>
        <v>1738849.1481301475</v>
      </c>
      <c r="D68" s="24">
        <f>IF(C68&lt;=0.01,0,IF('🔢 Simulador'!C13="REDUCIR PLAZO",MIN('🔢 Simulador'!C10, C68*(1+'🔢 Simulador'!C9)),MIN(IFERROR(PMT('🔢 Simulador'!C9,'🔢 Simulador'!C8-62,-C68),0), C68*(1+'🔢 Simulador'!C9))))</f>
        <v>87022.342836897864</v>
      </c>
      <c r="E68" s="25">
        <f>IF(C68&lt;=0.01,0,C68*'🔢 Simulador'!$C$9)</f>
        <v>20370.473306502499</v>
      </c>
      <c r="F68" s="26">
        <f t="shared" si="0"/>
        <v>66651.869530395372</v>
      </c>
      <c r="G68" s="27">
        <f>IFERROR(SUMIFS('🔢 Simulador'!$F$8:$F$19, '🔢 Simulador'!$E$8:$E$19, B68),0)</f>
        <v>0</v>
      </c>
      <c r="H68" s="28">
        <f t="shared" si="1"/>
        <v>1672197.2785997521</v>
      </c>
    </row>
    <row r="69" spans="2:8" x14ac:dyDescent="0.2">
      <c r="B69" s="23">
        <v>64</v>
      </c>
      <c r="C69" s="24">
        <f t="shared" si="2"/>
        <v>1672197.2785997521</v>
      </c>
      <c r="D69" s="24">
        <f>IF(C69&lt;=0.01,0,IF('🔢 Simulador'!C13="REDUCIR PLAZO",MIN('🔢 Simulador'!C10, C69*(1+'🔢 Simulador'!C9)),MIN(IFERROR(PMT('🔢 Simulador'!C9,'🔢 Simulador'!C8-63,-C69),0), C69*(1+'🔢 Simulador'!C9))))</f>
        <v>87022.342836897864</v>
      </c>
      <c r="E69" s="25">
        <f>IF(C69&lt;=0.01,0,C69*'🔢 Simulador'!$C$9)</f>
        <v>19589.652192401012</v>
      </c>
      <c r="F69" s="26">
        <f t="shared" si="0"/>
        <v>67432.690644496848</v>
      </c>
      <c r="G69" s="27">
        <f>IFERROR(SUMIFS('🔢 Simulador'!$F$8:$F$19, '🔢 Simulador'!$E$8:$E$19, B69),0)</f>
        <v>0</v>
      </c>
      <c r="H69" s="28">
        <f t="shared" si="1"/>
        <v>1604764.5879552553</v>
      </c>
    </row>
    <row r="70" spans="2:8" x14ac:dyDescent="0.2">
      <c r="B70" s="23">
        <v>65</v>
      </c>
      <c r="C70" s="24">
        <f t="shared" si="2"/>
        <v>1604764.5879552553</v>
      </c>
      <c r="D70" s="24">
        <f>IF(C70&lt;=0.01,0,IF('🔢 Simulador'!C13="REDUCIR PLAZO",MIN('🔢 Simulador'!C10, C70*(1+'🔢 Simulador'!C9)),MIN(IFERROR(PMT('🔢 Simulador'!C9,'🔢 Simulador'!C8-64,-C70),0), C70*(1+'🔢 Simulador'!C9))))</f>
        <v>87022.342836897864</v>
      </c>
      <c r="E70" s="25">
        <f>IF(C70&lt;=0.01,0,C70*'🔢 Simulador'!$C$9)</f>
        <v>18799.683823818559</v>
      </c>
      <c r="F70" s="26">
        <f t="shared" ref="F70:F133" si="3">MAX(0, D70-E70)</f>
        <v>68222.659013079305</v>
      </c>
      <c r="G70" s="27">
        <f>IFERROR(SUMIFS('🔢 Simulador'!$F$8:$F$19, '🔢 Simulador'!$E$8:$E$19, B70),0)</f>
        <v>0</v>
      </c>
      <c r="H70" s="28">
        <f t="shared" ref="H70:H133" si="4">MAX(0, C70-F70-G70)</f>
        <v>1536541.928942176</v>
      </c>
    </row>
    <row r="71" spans="2:8" x14ac:dyDescent="0.2">
      <c r="B71" s="23">
        <v>66</v>
      </c>
      <c r="C71" s="24">
        <f t="shared" ref="C71:C134" si="5">IF(H70&lt;=0.01,0,H70)</f>
        <v>1536541.928942176</v>
      </c>
      <c r="D71" s="24">
        <f>IF(C71&lt;=0.01,0,IF('🔢 Simulador'!C13="REDUCIR PLAZO",MIN('🔢 Simulador'!C10, C71*(1+'🔢 Simulador'!C9)),MIN(IFERROR(PMT('🔢 Simulador'!C9,'🔢 Simulador'!C8-65,-C71),0), C71*(1+'🔢 Simulador'!C9))))</f>
        <v>87022.342836897864</v>
      </c>
      <c r="E71" s="25">
        <f>IF(C71&lt;=0.01,0,C71*'🔢 Simulador'!$C$9)</f>
        <v>18000.461041428847</v>
      </c>
      <c r="F71" s="26">
        <f t="shared" si="3"/>
        <v>69021.881795469017</v>
      </c>
      <c r="G71" s="27">
        <f>IFERROR(SUMIFS('🔢 Simulador'!$F$8:$F$19, '🔢 Simulador'!$E$8:$E$19, B71),0)</f>
        <v>0</v>
      </c>
      <c r="H71" s="28">
        <f t="shared" si="4"/>
        <v>1467520.0471467071</v>
      </c>
    </row>
    <row r="72" spans="2:8" x14ac:dyDescent="0.2">
      <c r="B72" s="23">
        <v>67</v>
      </c>
      <c r="C72" s="24">
        <f t="shared" si="5"/>
        <v>1467520.0471467071</v>
      </c>
      <c r="D72" s="24">
        <f>IF(C72&lt;=0.01,0,IF('🔢 Simulador'!C13="REDUCIR PLAZO",MIN('🔢 Simulador'!C10, C72*(1+'🔢 Simulador'!C9)),MIN(IFERROR(PMT('🔢 Simulador'!C9,'🔢 Simulador'!C8-66,-C72),0), C72*(1+'🔢 Simulador'!C9))))</f>
        <v>87022.342836897864</v>
      </c>
      <c r="E72" s="25">
        <f>IF(C72&lt;=0.01,0,C72*'🔢 Simulador'!$C$9)</f>
        <v>17191.875430542987</v>
      </c>
      <c r="F72" s="26">
        <f t="shared" si="3"/>
        <v>69830.467406354874</v>
      </c>
      <c r="G72" s="27">
        <f>IFERROR(SUMIFS('🔢 Simulador'!$F$8:$F$19, '🔢 Simulador'!$E$8:$E$19, B72),0)</f>
        <v>0</v>
      </c>
      <c r="H72" s="28">
        <f t="shared" si="4"/>
        <v>1397689.5797403522</v>
      </c>
    </row>
    <row r="73" spans="2:8" x14ac:dyDescent="0.2">
      <c r="B73" s="23">
        <v>68</v>
      </c>
      <c r="C73" s="24">
        <f t="shared" si="5"/>
        <v>1397689.5797403522</v>
      </c>
      <c r="D73" s="24">
        <f>IF(C73&lt;=0.01,0,IF('🔢 Simulador'!C13="REDUCIR PLAZO",MIN('🔢 Simulador'!C10, C73*(1+'🔢 Simulador'!C9)),MIN(IFERROR(PMT('🔢 Simulador'!C9,'🔢 Simulador'!C8-67,-C73),0), C73*(1+'🔢 Simulador'!C9))))</f>
        <v>87022.342836897864</v>
      </c>
      <c r="E73" s="25">
        <f>IF(C73&lt;=0.01,0,C73*'🔢 Simulador'!$C$9)</f>
        <v>16373.817306403012</v>
      </c>
      <c r="F73" s="26">
        <f t="shared" si="3"/>
        <v>70648.525530494851</v>
      </c>
      <c r="G73" s="27">
        <f>IFERROR(SUMIFS('🔢 Simulador'!$F$8:$F$19, '🔢 Simulador'!$E$8:$E$19, B73),0)</f>
        <v>0</v>
      </c>
      <c r="H73" s="28">
        <f t="shared" si="4"/>
        <v>1327041.0542098575</v>
      </c>
    </row>
    <row r="74" spans="2:8" x14ac:dyDescent="0.2">
      <c r="B74" s="23">
        <v>69</v>
      </c>
      <c r="C74" s="24">
        <f t="shared" si="5"/>
        <v>1327041.0542098575</v>
      </c>
      <c r="D74" s="24">
        <f>IF(C74&lt;=0.01,0,IF('🔢 Simulador'!C13="REDUCIR PLAZO",MIN('🔢 Simulador'!C10, C74*(1+'🔢 Simulador'!C9)),MIN(IFERROR(PMT('🔢 Simulador'!C9,'🔢 Simulador'!C8-68,-C74),0), C74*(1+'🔢 Simulador'!C9))))</f>
        <v>87022.342836897864</v>
      </c>
      <c r="E74" s="25">
        <f>IF(C74&lt;=0.01,0,C74*'🔢 Simulador'!$C$9)</f>
        <v>15546.175699303125</v>
      </c>
      <c r="F74" s="26">
        <f t="shared" si="3"/>
        <v>71476.167137594734</v>
      </c>
      <c r="G74" s="27">
        <f>IFERROR(SUMIFS('🔢 Simulador'!$F$8:$F$19, '🔢 Simulador'!$E$8:$E$19, B74),0)</f>
        <v>0</v>
      </c>
      <c r="H74" s="28">
        <f t="shared" si="4"/>
        <v>1255564.8870722628</v>
      </c>
    </row>
    <row r="75" spans="2:8" x14ac:dyDescent="0.2">
      <c r="B75" s="23">
        <v>70</v>
      </c>
      <c r="C75" s="24">
        <f t="shared" si="5"/>
        <v>1255564.8870722628</v>
      </c>
      <c r="D75" s="24">
        <f>IF(C75&lt;=0.01,0,IF('🔢 Simulador'!C13="REDUCIR PLAZO",MIN('🔢 Simulador'!C10, C75*(1+'🔢 Simulador'!C9)),MIN(IFERROR(PMT('🔢 Simulador'!C9,'🔢 Simulador'!C8-69,-C75),0), C75*(1+'🔢 Simulador'!C9))))</f>
        <v>87022.342836897864</v>
      </c>
      <c r="E75" s="25">
        <f>IF(C75&lt;=0.01,0,C75*'🔢 Simulador'!$C$9)</f>
        <v>14708.838339536649</v>
      </c>
      <c r="F75" s="26">
        <f t="shared" si="3"/>
        <v>72313.504497361209</v>
      </c>
      <c r="G75" s="27">
        <f>IFERROR(SUMIFS('🔢 Simulador'!$F$8:$F$19, '🔢 Simulador'!$E$8:$E$19, B75),0)</f>
        <v>0</v>
      </c>
      <c r="H75" s="28">
        <f t="shared" si="4"/>
        <v>1183251.3825749017</v>
      </c>
    </row>
    <row r="76" spans="2:8" x14ac:dyDescent="0.2">
      <c r="B76" s="23">
        <v>71</v>
      </c>
      <c r="C76" s="24">
        <f t="shared" si="5"/>
        <v>1183251.3825749017</v>
      </c>
      <c r="D76" s="24">
        <f>IF(C76&lt;=0.01,0,IF('🔢 Simulador'!C13="REDUCIR PLAZO",MIN('🔢 Simulador'!C10, C76*(1+'🔢 Simulador'!C9)),MIN(IFERROR(PMT('🔢 Simulador'!C9,'🔢 Simulador'!C8-70,-C76),0), C76*(1+'🔢 Simulador'!C9))))</f>
        <v>87022.342836897864</v>
      </c>
      <c r="E76" s="25">
        <f>IF(C76&lt;=0.01,0,C76*'🔢 Simulador'!$C$9)</f>
        <v>13861.691642166621</v>
      </c>
      <c r="F76" s="26">
        <f t="shared" si="3"/>
        <v>73160.651194731239</v>
      </c>
      <c r="G76" s="27">
        <f>IFERROR(SUMIFS('🔢 Simulador'!$F$8:$F$19, '🔢 Simulador'!$E$8:$E$19, B76),0)</f>
        <v>0</v>
      </c>
      <c r="H76" s="28">
        <f t="shared" si="4"/>
        <v>1110090.7313801704</v>
      </c>
    </row>
    <row r="77" spans="2:8" x14ac:dyDescent="0.2">
      <c r="B77" s="23">
        <v>72</v>
      </c>
      <c r="C77" s="24">
        <f t="shared" si="5"/>
        <v>1110090.7313801704</v>
      </c>
      <c r="D77" s="24">
        <f>IF(C77&lt;=0.01,0,IF('🔢 Simulador'!C13="REDUCIR PLAZO",MIN('🔢 Simulador'!C10, C77*(1+'🔢 Simulador'!C9)),MIN(IFERROR(PMT('🔢 Simulador'!C9,'🔢 Simulador'!C8-71,-C77),0), C77*(1+'🔢 Simulador'!C9))))</f>
        <v>87022.342836897864</v>
      </c>
      <c r="E77" s="25">
        <f>IF(C77&lt;=0.01,0,C77*'🔢 Simulador'!$C$9)</f>
        <v>13004.620691617973</v>
      </c>
      <c r="F77" s="26">
        <f t="shared" si="3"/>
        <v>74017.722145279899</v>
      </c>
      <c r="G77" s="27">
        <f>IFERROR(SUMIFS('🔢 Simulador'!$F$8:$F$19, '🔢 Simulador'!$E$8:$E$19, B77),0)</f>
        <v>100000</v>
      </c>
      <c r="H77" s="28">
        <f t="shared" si="4"/>
        <v>936073.00923489057</v>
      </c>
    </row>
    <row r="78" spans="2:8" x14ac:dyDescent="0.2">
      <c r="B78" s="23">
        <v>73</v>
      </c>
      <c r="C78" s="24">
        <f t="shared" si="5"/>
        <v>936073.00923489057</v>
      </c>
      <c r="D78" s="24">
        <f>IF(C78&lt;=0.01,0,IF('🔢 Simulador'!C13="REDUCIR PLAZO",MIN('🔢 Simulador'!C10, C78*(1+'🔢 Simulador'!C9)),MIN(IFERROR(PMT('🔢 Simulador'!C9,'🔢 Simulador'!C8-72,-C78),0), C78*(1+'🔢 Simulador'!C9))))</f>
        <v>87022.342836897864</v>
      </c>
      <c r="E78" s="25">
        <f>IF(C78&lt;=0.01,0,C78*'🔢 Simulador'!$C$9)</f>
        <v>10966.017534103888</v>
      </c>
      <c r="F78" s="26">
        <f t="shared" si="3"/>
        <v>76056.325302793979</v>
      </c>
      <c r="G78" s="27">
        <f>IFERROR(SUMIFS('🔢 Simulador'!$F$8:$F$19, '🔢 Simulador'!$E$8:$E$19, B78),0)</f>
        <v>0</v>
      </c>
      <c r="H78" s="28">
        <f t="shared" si="4"/>
        <v>860016.68393209658</v>
      </c>
    </row>
    <row r="79" spans="2:8" x14ac:dyDescent="0.2">
      <c r="B79" s="23">
        <v>74</v>
      </c>
      <c r="C79" s="24">
        <f t="shared" si="5"/>
        <v>860016.68393209658</v>
      </c>
      <c r="D79" s="24">
        <f>IF(C79&lt;=0.01,0,IF('🔢 Simulador'!C13="REDUCIR PLAZO",MIN('🔢 Simulador'!C10, C79*(1+'🔢 Simulador'!C9)),MIN(IFERROR(PMT('🔢 Simulador'!C9,'🔢 Simulador'!C8-73,-C79),0), C79*(1+'🔢 Simulador'!C9))))</f>
        <v>87022.342836897864</v>
      </c>
      <c r="E79" s="25">
        <f>IF(C79&lt;=0.01,0,C79*'🔢 Simulador'!$C$9)</f>
        <v>10075.024001952315</v>
      </c>
      <c r="F79" s="26">
        <f t="shared" si="3"/>
        <v>76947.318834945545</v>
      </c>
      <c r="G79" s="27">
        <f>IFERROR(SUMIFS('🔢 Simulador'!$F$8:$F$19, '🔢 Simulador'!$E$8:$E$19, B79),0)</f>
        <v>0</v>
      </c>
      <c r="H79" s="28">
        <f t="shared" si="4"/>
        <v>783069.36509715102</v>
      </c>
    </row>
    <row r="80" spans="2:8" x14ac:dyDescent="0.2">
      <c r="B80" s="23">
        <v>75</v>
      </c>
      <c r="C80" s="24">
        <f t="shared" si="5"/>
        <v>783069.36509715102</v>
      </c>
      <c r="D80" s="24">
        <f>IF(C80&lt;=0.01,0,IF('🔢 Simulador'!C13="REDUCIR PLAZO",MIN('🔢 Simulador'!C10, C80*(1+'🔢 Simulador'!C9)),MIN(IFERROR(PMT('🔢 Simulador'!C9,'🔢 Simulador'!C8-74,-C80),0), C80*(1+'🔢 Simulador'!C9))))</f>
        <v>87022.342836897864</v>
      </c>
      <c r="E80" s="25">
        <f>IF(C80&lt;=0.01,0,C80*'🔢 Simulador'!$C$9)</f>
        <v>9173.5925545954578</v>
      </c>
      <c r="F80" s="26">
        <f t="shared" si="3"/>
        <v>77848.750282302412</v>
      </c>
      <c r="G80" s="27">
        <f>IFERROR(SUMIFS('🔢 Simulador'!$F$8:$F$19, '🔢 Simulador'!$E$8:$E$19, B80),0)</f>
        <v>0</v>
      </c>
      <c r="H80" s="28">
        <f t="shared" si="4"/>
        <v>705220.61481484864</v>
      </c>
    </row>
    <row r="81" spans="2:8" x14ac:dyDescent="0.2">
      <c r="B81" s="23">
        <v>76</v>
      </c>
      <c r="C81" s="24">
        <f t="shared" si="5"/>
        <v>705220.61481484864</v>
      </c>
      <c r="D81" s="24">
        <f>IF(C81&lt;=0.01,0,IF('🔢 Simulador'!C13="REDUCIR PLAZO",MIN('🔢 Simulador'!C10, C81*(1+'🔢 Simulador'!C9)),MIN(IFERROR(PMT('🔢 Simulador'!C9,'🔢 Simulador'!C8-75,-C81),0), C81*(1+'🔢 Simulador'!C9))))</f>
        <v>87022.342836897864</v>
      </c>
      <c r="E81" s="25">
        <f>IF(C81&lt;=0.01,0,C81*'🔢 Simulador'!$C$9)</f>
        <v>8261.600912723874</v>
      </c>
      <c r="F81" s="26">
        <f t="shared" si="3"/>
        <v>78760.741924173984</v>
      </c>
      <c r="G81" s="27">
        <f>IFERROR(SUMIFS('🔢 Simulador'!$F$8:$F$19, '🔢 Simulador'!$E$8:$E$19, B81),0)</f>
        <v>0</v>
      </c>
      <c r="H81" s="28">
        <f t="shared" si="4"/>
        <v>626459.87289067463</v>
      </c>
    </row>
    <row r="82" spans="2:8" x14ac:dyDescent="0.2">
      <c r="B82" s="23">
        <v>77</v>
      </c>
      <c r="C82" s="24">
        <f t="shared" si="5"/>
        <v>626459.87289067463</v>
      </c>
      <c r="D82" s="24">
        <f>IF(C82&lt;=0.01,0,IF('🔢 Simulador'!C13="REDUCIR PLAZO",MIN('🔢 Simulador'!C10, C82*(1+'🔢 Simulador'!C9)),MIN(IFERROR(PMT('🔢 Simulador'!C9,'🔢 Simulador'!C8-76,-C82),0), C82*(1+'🔢 Simulador'!C9))))</f>
        <v>87022.342836897864</v>
      </c>
      <c r="E82" s="25">
        <f>IF(C82&lt;=0.01,0,C82*'🔢 Simulador'!$C$9)</f>
        <v>7338.9253645361614</v>
      </c>
      <c r="F82" s="26">
        <f t="shared" si="3"/>
        <v>79683.417472361703</v>
      </c>
      <c r="G82" s="27">
        <f>IFERROR(SUMIFS('🔢 Simulador'!$F$8:$F$19, '🔢 Simulador'!$E$8:$E$19, B82),0)</f>
        <v>0</v>
      </c>
      <c r="H82" s="28">
        <f t="shared" si="4"/>
        <v>546776.45541831292</v>
      </c>
    </row>
    <row r="83" spans="2:8" x14ac:dyDescent="0.2">
      <c r="B83" s="23">
        <v>78</v>
      </c>
      <c r="C83" s="24">
        <f t="shared" si="5"/>
        <v>546776.45541831292</v>
      </c>
      <c r="D83" s="24">
        <f>IF(C83&lt;=0.01,0,IF('🔢 Simulador'!C13="REDUCIR PLAZO",MIN('🔢 Simulador'!C10, C83*(1+'🔢 Simulador'!C9)),MIN(IFERROR(PMT('🔢 Simulador'!C9,'🔢 Simulador'!C8-77,-C83),0), C83*(1+'🔢 Simulador'!C9))))</f>
        <v>87022.342836897864</v>
      </c>
      <c r="E83" s="25">
        <f>IF(C83&lt;=0.01,0,C83*'🔢 Simulador'!$C$9)</f>
        <v>6405.4407489574514</v>
      </c>
      <c r="F83" s="26">
        <f t="shared" si="3"/>
        <v>80616.902087940412</v>
      </c>
      <c r="G83" s="27">
        <f>IFERROR(SUMIFS('🔢 Simulador'!$F$8:$F$19, '🔢 Simulador'!$E$8:$E$19, B83),0)</f>
        <v>0</v>
      </c>
      <c r="H83" s="28">
        <f t="shared" si="4"/>
        <v>466159.5533303725</v>
      </c>
    </row>
    <row r="84" spans="2:8" x14ac:dyDescent="0.2">
      <c r="B84" s="23">
        <v>79</v>
      </c>
      <c r="C84" s="24">
        <f t="shared" si="5"/>
        <v>466159.5533303725</v>
      </c>
      <c r="D84" s="24">
        <f>IF(C84&lt;=0.01,0,IF('🔢 Simulador'!C13="REDUCIR PLAZO",MIN('🔢 Simulador'!C10, C84*(1+'🔢 Simulador'!C9)),MIN(IFERROR(PMT('🔢 Simulador'!C9,'🔢 Simulador'!C8-78,-C84),0), C84*(1+'🔢 Simulador'!C9))))</f>
        <v>87022.342836897864</v>
      </c>
      <c r="E84" s="25">
        <f>IF(C84&lt;=0.01,0,C84*'🔢 Simulador'!$C$9)</f>
        <v>5461.020438661275</v>
      </c>
      <c r="F84" s="26">
        <f t="shared" si="3"/>
        <v>81561.322398236589</v>
      </c>
      <c r="G84" s="27">
        <f>IFERROR(SUMIFS('🔢 Simulador'!$F$8:$F$19, '🔢 Simulador'!$E$8:$E$19, B84),0)</f>
        <v>0</v>
      </c>
      <c r="H84" s="28">
        <f t="shared" si="4"/>
        <v>384598.23093213589</v>
      </c>
    </row>
    <row r="85" spans="2:8" x14ac:dyDescent="0.2">
      <c r="B85" s="23">
        <v>80</v>
      </c>
      <c r="C85" s="24">
        <f t="shared" si="5"/>
        <v>384598.23093213589</v>
      </c>
      <c r="D85" s="24">
        <f>IF(C85&lt;=0.01,0,IF('🔢 Simulador'!C13="REDUCIR PLAZO",MIN('🔢 Simulador'!C10, C85*(1+'🔢 Simulador'!C9)),MIN(IFERROR(PMT('🔢 Simulador'!C9,'🔢 Simulador'!C8-79,-C85),0), C85*(1+'🔢 Simulador'!C9))))</f>
        <v>87022.342836897864</v>
      </c>
      <c r="E85" s="25">
        <f>IF(C85&lt;=0.01,0,C85*'🔢 Simulador'!$C$9)</f>
        <v>4505.5363228925562</v>
      </c>
      <c r="F85" s="26">
        <f t="shared" si="3"/>
        <v>82516.806514005308</v>
      </c>
      <c r="G85" s="27">
        <f>IFERROR(SUMIFS('🔢 Simulador'!$F$8:$F$19, '🔢 Simulador'!$E$8:$E$19, B85),0)</f>
        <v>0</v>
      </c>
      <c r="H85" s="28">
        <f t="shared" si="4"/>
        <v>302081.4244181306</v>
      </c>
    </row>
    <row r="86" spans="2:8" x14ac:dyDescent="0.2">
      <c r="B86" s="23">
        <v>81</v>
      </c>
      <c r="C86" s="24">
        <f t="shared" si="5"/>
        <v>302081.4244181306</v>
      </c>
      <c r="D86" s="24">
        <f>IF(C86&lt;=0.01,0,IF('🔢 Simulador'!C13="REDUCIR PLAZO",MIN('🔢 Simulador'!C10, C86*(1+'🔢 Simulador'!C9)),MIN(IFERROR(PMT('🔢 Simulador'!C9,'🔢 Simulador'!C8-80,-C86),0), C86*(1+'🔢 Simulador'!C9))))</f>
        <v>87022.342836897864</v>
      </c>
      <c r="E86" s="25">
        <f>IF(C86&lt;=0.01,0,C86*'🔢 Simulador'!$C$9)</f>
        <v>3538.8587900893681</v>
      </c>
      <c r="F86" s="26">
        <f t="shared" si="3"/>
        <v>83483.484046808502</v>
      </c>
      <c r="G86" s="27">
        <f>IFERROR(SUMIFS('🔢 Simulador'!$F$8:$F$19, '🔢 Simulador'!$E$8:$E$19, B86),0)</f>
        <v>0</v>
      </c>
      <c r="H86" s="28">
        <f t="shared" si="4"/>
        <v>218597.9403713221</v>
      </c>
    </row>
    <row r="87" spans="2:8" x14ac:dyDescent="0.2">
      <c r="B87" s="23">
        <v>82</v>
      </c>
      <c r="C87" s="24">
        <f t="shared" si="5"/>
        <v>218597.9403713221</v>
      </c>
      <c r="D87" s="24">
        <f>IF(C87&lt;=0.01,0,IF('🔢 Simulador'!C13="REDUCIR PLAZO",MIN('🔢 Simulador'!C10, C87*(1+'🔢 Simulador'!C9)),MIN(IFERROR(PMT('🔢 Simulador'!C9,'🔢 Simulador'!C8-81,-C87),0), C87*(1+'🔢 Simulador'!C9))))</f>
        <v>87022.342836897864</v>
      </c>
      <c r="E87" s="25">
        <f>IF(C87&lt;=0.01,0,C87*'🔢 Simulador'!$C$9)</f>
        <v>2560.8567103011014</v>
      </c>
      <c r="F87" s="26">
        <f t="shared" si="3"/>
        <v>84461.486126596763</v>
      </c>
      <c r="G87" s="27">
        <f>IFERROR(SUMIFS('🔢 Simulador'!$F$8:$F$19, '🔢 Simulador'!$E$8:$E$19, B87),0)</f>
        <v>0</v>
      </c>
      <c r="H87" s="28">
        <f t="shared" si="4"/>
        <v>134136.45424472535</v>
      </c>
    </row>
    <row r="88" spans="2:8" x14ac:dyDescent="0.2">
      <c r="B88" s="23">
        <v>83</v>
      </c>
      <c r="C88" s="24">
        <f t="shared" si="5"/>
        <v>134136.45424472535</v>
      </c>
      <c r="D88" s="24">
        <f>IF(C88&lt;=0.01,0,IF('🔢 Simulador'!C13="REDUCIR PLAZO",MIN('🔢 Simulador'!C10, C88*(1+'🔢 Simulador'!C9)),MIN(IFERROR(PMT('🔢 Simulador'!C9,'🔢 Simulador'!C8-82,-C88),0), C88*(1+'🔢 Simulador'!C9))))</f>
        <v>87022.342836897864</v>
      </c>
      <c r="E88" s="25">
        <f>IF(C88&lt;=0.01,0,C88*'🔢 Simulador'!$C$9)</f>
        <v>1571.3974174006717</v>
      </c>
      <c r="F88" s="26">
        <f t="shared" si="3"/>
        <v>85450.945419497191</v>
      </c>
      <c r="G88" s="27">
        <f>IFERROR(SUMIFS('🔢 Simulador'!$F$8:$F$19, '🔢 Simulador'!$E$8:$E$19, B88),0)</f>
        <v>0</v>
      </c>
      <c r="H88" s="28">
        <f t="shared" si="4"/>
        <v>48685.508825228157</v>
      </c>
    </row>
    <row r="89" spans="2:8" x14ac:dyDescent="0.2">
      <c r="B89" s="23">
        <v>84</v>
      </c>
      <c r="C89" s="24">
        <f t="shared" si="5"/>
        <v>48685.508825228157</v>
      </c>
      <c r="D89" s="24">
        <f>IF(C89&lt;=0.01,0,IF('🔢 Simulador'!C13="REDUCIR PLAZO",MIN('🔢 Simulador'!C10, C89*(1+'🔢 Simulador'!C9)),MIN(IFERROR(PMT('🔢 Simulador'!C9,'🔢 Simulador'!C8-83,-C89),0), C89*(1+'🔢 Simulador'!C9))))</f>
        <v>49255.855516316493</v>
      </c>
      <c r="E89" s="25">
        <f>IF(C89&lt;=0.01,0,C89*'🔢 Simulador'!$C$9)</f>
        <v>570.34669108833634</v>
      </c>
      <c r="F89" s="26">
        <f t="shared" si="3"/>
        <v>48685.508825228157</v>
      </c>
      <c r="G89" s="27">
        <f>IFERROR(SUMIFS('🔢 Simulador'!$F$8:$F$19, '🔢 Simulador'!$E$8:$E$19, B89),0)</f>
        <v>100000</v>
      </c>
      <c r="H89" s="28">
        <f t="shared" si="4"/>
        <v>0</v>
      </c>
    </row>
    <row r="90" spans="2:8" x14ac:dyDescent="0.2">
      <c r="B90" s="23">
        <v>85</v>
      </c>
      <c r="C90" s="24">
        <f t="shared" si="5"/>
        <v>0</v>
      </c>
      <c r="D90" s="24">
        <f>IF(C90&lt;=0.01,0,IF('🔢 Simulador'!C13="REDUCIR PLAZO",MIN('🔢 Simulador'!C10, C90*(1+'🔢 Simulador'!C9)),MIN(IFERROR(PMT('🔢 Simulador'!C9,'🔢 Simulador'!C8-84,-C90),0), C90*(1+'🔢 Simulador'!C9))))</f>
        <v>0</v>
      </c>
      <c r="E90" s="25">
        <f>IF(C90&lt;=0.01,0,C90*'🔢 Simulador'!$C$9)</f>
        <v>0</v>
      </c>
      <c r="F90" s="26">
        <f t="shared" si="3"/>
        <v>0</v>
      </c>
      <c r="G90" s="27">
        <f>IFERROR(SUMIFS('🔢 Simulador'!$F$8:$F$19, '🔢 Simulador'!$E$8:$E$19, B90),0)</f>
        <v>0</v>
      </c>
      <c r="H90" s="28">
        <f t="shared" si="4"/>
        <v>0</v>
      </c>
    </row>
    <row r="91" spans="2:8" x14ac:dyDescent="0.2">
      <c r="B91" s="23">
        <v>86</v>
      </c>
      <c r="C91" s="24">
        <f t="shared" si="5"/>
        <v>0</v>
      </c>
      <c r="D91" s="24">
        <f>IF(C91&lt;=0.01,0,IF('🔢 Simulador'!C13="REDUCIR PLAZO",MIN('🔢 Simulador'!C10, C91*(1+'🔢 Simulador'!C9)),MIN(IFERROR(PMT('🔢 Simulador'!C9,'🔢 Simulador'!C8-85,-C91),0), C91*(1+'🔢 Simulador'!C9))))</f>
        <v>0</v>
      </c>
      <c r="E91" s="25">
        <f>IF(C91&lt;=0.01,0,C91*'🔢 Simulador'!$C$9)</f>
        <v>0</v>
      </c>
      <c r="F91" s="26">
        <f t="shared" si="3"/>
        <v>0</v>
      </c>
      <c r="G91" s="27">
        <f>IFERROR(SUMIFS('🔢 Simulador'!$F$8:$F$19, '🔢 Simulador'!$E$8:$E$19, B91),0)</f>
        <v>0</v>
      </c>
      <c r="H91" s="28">
        <f t="shared" si="4"/>
        <v>0</v>
      </c>
    </row>
    <row r="92" spans="2:8" x14ac:dyDescent="0.2">
      <c r="B92" s="23">
        <v>87</v>
      </c>
      <c r="C92" s="24">
        <f t="shared" si="5"/>
        <v>0</v>
      </c>
      <c r="D92" s="24">
        <f>IF(C92&lt;=0.01,0,IF('🔢 Simulador'!C13="REDUCIR PLAZO",MIN('🔢 Simulador'!C10, C92*(1+'🔢 Simulador'!C9)),MIN(IFERROR(PMT('🔢 Simulador'!C9,'🔢 Simulador'!C8-86,-C92),0), C92*(1+'🔢 Simulador'!C9))))</f>
        <v>0</v>
      </c>
      <c r="E92" s="25">
        <f>IF(C92&lt;=0.01,0,C92*'🔢 Simulador'!$C$9)</f>
        <v>0</v>
      </c>
      <c r="F92" s="26">
        <f t="shared" si="3"/>
        <v>0</v>
      </c>
      <c r="G92" s="27">
        <f>IFERROR(SUMIFS('🔢 Simulador'!$F$8:$F$19, '🔢 Simulador'!$E$8:$E$19, B92),0)</f>
        <v>0</v>
      </c>
      <c r="H92" s="28">
        <f t="shared" si="4"/>
        <v>0</v>
      </c>
    </row>
    <row r="93" spans="2:8" x14ac:dyDescent="0.2">
      <c r="B93" s="23">
        <v>88</v>
      </c>
      <c r="C93" s="24">
        <f t="shared" si="5"/>
        <v>0</v>
      </c>
      <c r="D93" s="24">
        <f>IF(C93&lt;=0.01,0,IF('🔢 Simulador'!C13="REDUCIR PLAZO",MIN('🔢 Simulador'!C10, C93*(1+'🔢 Simulador'!C9)),MIN(IFERROR(PMT('🔢 Simulador'!C9,'🔢 Simulador'!C8-87,-C93),0), C93*(1+'🔢 Simulador'!C9))))</f>
        <v>0</v>
      </c>
      <c r="E93" s="25">
        <f>IF(C93&lt;=0.01,0,C93*'🔢 Simulador'!$C$9)</f>
        <v>0</v>
      </c>
      <c r="F93" s="26">
        <f t="shared" si="3"/>
        <v>0</v>
      </c>
      <c r="G93" s="27">
        <f>IFERROR(SUMIFS('🔢 Simulador'!$F$8:$F$19, '🔢 Simulador'!$E$8:$E$19, B93),0)</f>
        <v>0</v>
      </c>
      <c r="H93" s="28">
        <f t="shared" si="4"/>
        <v>0</v>
      </c>
    </row>
    <row r="94" spans="2:8" x14ac:dyDescent="0.2">
      <c r="B94" s="23">
        <v>89</v>
      </c>
      <c r="C94" s="24">
        <f t="shared" si="5"/>
        <v>0</v>
      </c>
      <c r="D94" s="24">
        <f>IF(C94&lt;=0.01,0,IF('🔢 Simulador'!C13="REDUCIR PLAZO",MIN('🔢 Simulador'!C10, C94*(1+'🔢 Simulador'!C9)),MIN(IFERROR(PMT('🔢 Simulador'!C9,'🔢 Simulador'!C8-88,-C94),0), C94*(1+'🔢 Simulador'!C9))))</f>
        <v>0</v>
      </c>
      <c r="E94" s="25">
        <f>IF(C94&lt;=0.01,0,C94*'🔢 Simulador'!$C$9)</f>
        <v>0</v>
      </c>
      <c r="F94" s="26">
        <f t="shared" si="3"/>
        <v>0</v>
      </c>
      <c r="G94" s="27">
        <f>IFERROR(SUMIFS('🔢 Simulador'!$F$8:$F$19, '🔢 Simulador'!$E$8:$E$19, B94),0)</f>
        <v>0</v>
      </c>
      <c r="H94" s="28">
        <f t="shared" si="4"/>
        <v>0</v>
      </c>
    </row>
    <row r="95" spans="2:8" x14ac:dyDescent="0.2">
      <c r="B95" s="23">
        <v>90</v>
      </c>
      <c r="C95" s="24">
        <f t="shared" si="5"/>
        <v>0</v>
      </c>
      <c r="D95" s="24">
        <f>IF(C95&lt;=0.01,0,IF('🔢 Simulador'!C13="REDUCIR PLAZO",MIN('🔢 Simulador'!C10, C95*(1+'🔢 Simulador'!C9)),MIN(IFERROR(PMT('🔢 Simulador'!C9,'🔢 Simulador'!C8-89,-C95),0), C95*(1+'🔢 Simulador'!C9))))</f>
        <v>0</v>
      </c>
      <c r="E95" s="25">
        <f>IF(C95&lt;=0.01,0,C95*'🔢 Simulador'!$C$9)</f>
        <v>0</v>
      </c>
      <c r="F95" s="26">
        <f t="shared" si="3"/>
        <v>0</v>
      </c>
      <c r="G95" s="27">
        <f>IFERROR(SUMIFS('🔢 Simulador'!$F$8:$F$19, '🔢 Simulador'!$E$8:$E$19, B95),0)</f>
        <v>0</v>
      </c>
      <c r="H95" s="28">
        <f t="shared" si="4"/>
        <v>0</v>
      </c>
    </row>
    <row r="96" spans="2:8" x14ac:dyDescent="0.2">
      <c r="B96" s="23">
        <v>91</v>
      </c>
      <c r="C96" s="24">
        <f t="shared" si="5"/>
        <v>0</v>
      </c>
      <c r="D96" s="24">
        <f>IF(C96&lt;=0.01,0,IF('🔢 Simulador'!C13="REDUCIR PLAZO",MIN('🔢 Simulador'!C10, C96*(1+'🔢 Simulador'!C9)),MIN(IFERROR(PMT('🔢 Simulador'!C9,'🔢 Simulador'!C8-90,-C96),0), C96*(1+'🔢 Simulador'!C9))))</f>
        <v>0</v>
      </c>
      <c r="E96" s="25">
        <f>IF(C96&lt;=0.01,0,C96*'🔢 Simulador'!$C$9)</f>
        <v>0</v>
      </c>
      <c r="F96" s="26">
        <f t="shared" si="3"/>
        <v>0</v>
      </c>
      <c r="G96" s="27">
        <f>IFERROR(SUMIFS('🔢 Simulador'!$F$8:$F$19, '🔢 Simulador'!$E$8:$E$19, B96),0)</f>
        <v>0</v>
      </c>
      <c r="H96" s="28">
        <f t="shared" si="4"/>
        <v>0</v>
      </c>
    </row>
    <row r="97" spans="2:8" x14ac:dyDescent="0.2">
      <c r="B97" s="23">
        <v>92</v>
      </c>
      <c r="C97" s="24">
        <f t="shared" si="5"/>
        <v>0</v>
      </c>
      <c r="D97" s="24">
        <f>IF(C97&lt;=0.01,0,IF('🔢 Simulador'!C13="REDUCIR PLAZO",MIN('🔢 Simulador'!C10, C97*(1+'🔢 Simulador'!C9)),MIN(IFERROR(PMT('🔢 Simulador'!C9,'🔢 Simulador'!C8-91,-C97),0), C97*(1+'🔢 Simulador'!C9))))</f>
        <v>0</v>
      </c>
      <c r="E97" s="25">
        <f>IF(C97&lt;=0.01,0,C97*'🔢 Simulador'!$C$9)</f>
        <v>0</v>
      </c>
      <c r="F97" s="26">
        <f t="shared" si="3"/>
        <v>0</v>
      </c>
      <c r="G97" s="27">
        <f>IFERROR(SUMIFS('🔢 Simulador'!$F$8:$F$19, '🔢 Simulador'!$E$8:$E$19, B97),0)</f>
        <v>0</v>
      </c>
      <c r="H97" s="28">
        <f t="shared" si="4"/>
        <v>0</v>
      </c>
    </row>
    <row r="98" spans="2:8" x14ac:dyDescent="0.2">
      <c r="B98" s="23">
        <v>93</v>
      </c>
      <c r="C98" s="24">
        <f t="shared" si="5"/>
        <v>0</v>
      </c>
      <c r="D98" s="24">
        <f>IF(C98&lt;=0.01,0,IF('🔢 Simulador'!C13="REDUCIR PLAZO",MIN('🔢 Simulador'!C10, C98*(1+'🔢 Simulador'!C9)),MIN(IFERROR(PMT('🔢 Simulador'!C9,'🔢 Simulador'!C8-92,-C98),0), C98*(1+'🔢 Simulador'!C9))))</f>
        <v>0</v>
      </c>
      <c r="E98" s="25">
        <f>IF(C98&lt;=0.01,0,C98*'🔢 Simulador'!$C$9)</f>
        <v>0</v>
      </c>
      <c r="F98" s="26">
        <f t="shared" si="3"/>
        <v>0</v>
      </c>
      <c r="G98" s="27">
        <f>IFERROR(SUMIFS('🔢 Simulador'!$F$8:$F$19, '🔢 Simulador'!$E$8:$E$19, B98),0)</f>
        <v>0</v>
      </c>
      <c r="H98" s="28">
        <f t="shared" si="4"/>
        <v>0</v>
      </c>
    </row>
    <row r="99" spans="2:8" x14ac:dyDescent="0.2">
      <c r="B99" s="23">
        <v>94</v>
      </c>
      <c r="C99" s="24">
        <f t="shared" si="5"/>
        <v>0</v>
      </c>
      <c r="D99" s="24">
        <f>IF(C99&lt;=0.01,0,IF('🔢 Simulador'!C13="REDUCIR PLAZO",MIN('🔢 Simulador'!C10, C99*(1+'🔢 Simulador'!C9)),MIN(IFERROR(PMT('🔢 Simulador'!C9,'🔢 Simulador'!C8-93,-C99),0), C99*(1+'🔢 Simulador'!C9))))</f>
        <v>0</v>
      </c>
      <c r="E99" s="25">
        <f>IF(C99&lt;=0.01,0,C99*'🔢 Simulador'!$C$9)</f>
        <v>0</v>
      </c>
      <c r="F99" s="26">
        <f t="shared" si="3"/>
        <v>0</v>
      </c>
      <c r="G99" s="27">
        <f>IFERROR(SUMIFS('🔢 Simulador'!$F$8:$F$19, '🔢 Simulador'!$E$8:$E$19, B99),0)</f>
        <v>0</v>
      </c>
      <c r="H99" s="28">
        <f t="shared" si="4"/>
        <v>0</v>
      </c>
    </row>
    <row r="100" spans="2:8" x14ac:dyDescent="0.2">
      <c r="B100" s="23">
        <v>95</v>
      </c>
      <c r="C100" s="24">
        <f t="shared" si="5"/>
        <v>0</v>
      </c>
      <c r="D100" s="24">
        <f>IF(C100&lt;=0.01,0,IF('🔢 Simulador'!C13="REDUCIR PLAZO",MIN('🔢 Simulador'!C10, C100*(1+'🔢 Simulador'!C9)),MIN(IFERROR(PMT('🔢 Simulador'!C9,'🔢 Simulador'!C8-94,-C100),0), C100*(1+'🔢 Simulador'!C9))))</f>
        <v>0</v>
      </c>
      <c r="E100" s="25">
        <f>IF(C100&lt;=0.01,0,C100*'🔢 Simulador'!$C$9)</f>
        <v>0</v>
      </c>
      <c r="F100" s="26">
        <f t="shared" si="3"/>
        <v>0</v>
      </c>
      <c r="G100" s="27">
        <f>IFERROR(SUMIFS('🔢 Simulador'!$F$8:$F$19, '🔢 Simulador'!$E$8:$E$19, B100),0)</f>
        <v>0</v>
      </c>
      <c r="H100" s="28">
        <f t="shared" si="4"/>
        <v>0</v>
      </c>
    </row>
    <row r="101" spans="2:8" x14ac:dyDescent="0.2">
      <c r="B101" s="23">
        <v>96</v>
      </c>
      <c r="C101" s="24">
        <f t="shared" si="5"/>
        <v>0</v>
      </c>
      <c r="D101" s="24">
        <f>IF(C101&lt;=0.01,0,IF('🔢 Simulador'!C13="REDUCIR PLAZO",MIN('🔢 Simulador'!C10, C101*(1+'🔢 Simulador'!C9)),MIN(IFERROR(PMT('🔢 Simulador'!C9,'🔢 Simulador'!C8-95,-C101),0), C101*(1+'🔢 Simulador'!C9))))</f>
        <v>0</v>
      </c>
      <c r="E101" s="25">
        <f>IF(C101&lt;=0.01,0,C101*'🔢 Simulador'!$C$9)</f>
        <v>0</v>
      </c>
      <c r="F101" s="26">
        <f t="shared" si="3"/>
        <v>0</v>
      </c>
      <c r="G101" s="27">
        <f>IFERROR(SUMIFS('🔢 Simulador'!$F$8:$F$19, '🔢 Simulador'!$E$8:$E$19, B101),0)</f>
        <v>0</v>
      </c>
      <c r="H101" s="28">
        <f t="shared" si="4"/>
        <v>0</v>
      </c>
    </row>
    <row r="102" spans="2:8" x14ac:dyDescent="0.2">
      <c r="B102" s="23">
        <v>97</v>
      </c>
      <c r="C102" s="24">
        <f t="shared" si="5"/>
        <v>0</v>
      </c>
      <c r="D102" s="24">
        <f>IF(C102&lt;=0.01,0,IF('🔢 Simulador'!C13="REDUCIR PLAZO",MIN('🔢 Simulador'!C10, C102*(1+'🔢 Simulador'!C9)),MIN(IFERROR(PMT('🔢 Simulador'!C9,'🔢 Simulador'!C8-96,-C102),0), C102*(1+'🔢 Simulador'!C9))))</f>
        <v>0</v>
      </c>
      <c r="E102" s="25">
        <f>IF(C102&lt;=0.01,0,C102*'🔢 Simulador'!$C$9)</f>
        <v>0</v>
      </c>
      <c r="F102" s="26">
        <f t="shared" si="3"/>
        <v>0</v>
      </c>
      <c r="G102" s="27">
        <f>IFERROR(SUMIFS('🔢 Simulador'!$F$8:$F$19, '🔢 Simulador'!$E$8:$E$19, B102),0)</f>
        <v>0</v>
      </c>
      <c r="H102" s="28">
        <f t="shared" si="4"/>
        <v>0</v>
      </c>
    </row>
    <row r="103" spans="2:8" x14ac:dyDescent="0.2">
      <c r="B103" s="23">
        <v>98</v>
      </c>
      <c r="C103" s="24">
        <f t="shared" si="5"/>
        <v>0</v>
      </c>
      <c r="D103" s="24">
        <f>IF(C103&lt;=0.01,0,IF('🔢 Simulador'!C13="REDUCIR PLAZO",MIN('🔢 Simulador'!C10, C103*(1+'🔢 Simulador'!C9)),MIN(IFERROR(PMT('🔢 Simulador'!C9,'🔢 Simulador'!C8-97,-C103),0), C103*(1+'🔢 Simulador'!C9))))</f>
        <v>0</v>
      </c>
      <c r="E103" s="25">
        <f>IF(C103&lt;=0.01,0,C103*'🔢 Simulador'!$C$9)</f>
        <v>0</v>
      </c>
      <c r="F103" s="26">
        <f t="shared" si="3"/>
        <v>0</v>
      </c>
      <c r="G103" s="27">
        <f>IFERROR(SUMIFS('🔢 Simulador'!$F$8:$F$19, '🔢 Simulador'!$E$8:$E$19, B103),0)</f>
        <v>0</v>
      </c>
      <c r="H103" s="28">
        <f t="shared" si="4"/>
        <v>0</v>
      </c>
    </row>
    <row r="104" spans="2:8" x14ac:dyDescent="0.2">
      <c r="B104" s="23">
        <v>99</v>
      </c>
      <c r="C104" s="24">
        <f t="shared" si="5"/>
        <v>0</v>
      </c>
      <c r="D104" s="24">
        <f>IF(C104&lt;=0.01,0,IF('🔢 Simulador'!C13="REDUCIR PLAZO",MIN('🔢 Simulador'!C10, C104*(1+'🔢 Simulador'!C9)),MIN(IFERROR(PMT('🔢 Simulador'!C9,'🔢 Simulador'!C8-98,-C104),0), C104*(1+'🔢 Simulador'!C9))))</f>
        <v>0</v>
      </c>
      <c r="E104" s="25">
        <f>IF(C104&lt;=0.01,0,C104*'🔢 Simulador'!$C$9)</f>
        <v>0</v>
      </c>
      <c r="F104" s="26">
        <f t="shared" si="3"/>
        <v>0</v>
      </c>
      <c r="G104" s="27">
        <f>IFERROR(SUMIFS('🔢 Simulador'!$F$8:$F$19, '🔢 Simulador'!$E$8:$E$19, B104),0)</f>
        <v>0</v>
      </c>
      <c r="H104" s="28">
        <f t="shared" si="4"/>
        <v>0</v>
      </c>
    </row>
    <row r="105" spans="2:8" x14ac:dyDescent="0.2">
      <c r="B105" s="23">
        <v>100</v>
      </c>
      <c r="C105" s="24">
        <f t="shared" si="5"/>
        <v>0</v>
      </c>
      <c r="D105" s="24">
        <f>IF(C105&lt;=0.01,0,IF('🔢 Simulador'!C13="REDUCIR PLAZO",MIN('🔢 Simulador'!C10, C105*(1+'🔢 Simulador'!C9)),MIN(IFERROR(PMT('🔢 Simulador'!C9,'🔢 Simulador'!C8-99,-C105),0), C105*(1+'🔢 Simulador'!C9))))</f>
        <v>0</v>
      </c>
      <c r="E105" s="25">
        <f>IF(C105&lt;=0.01,0,C105*'🔢 Simulador'!$C$9)</f>
        <v>0</v>
      </c>
      <c r="F105" s="26">
        <f t="shared" si="3"/>
        <v>0</v>
      </c>
      <c r="G105" s="27">
        <f>IFERROR(SUMIFS('🔢 Simulador'!$F$8:$F$19, '🔢 Simulador'!$E$8:$E$19, B105),0)</f>
        <v>0</v>
      </c>
      <c r="H105" s="28">
        <f t="shared" si="4"/>
        <v>0</v>
      </c>
    </row>
    <row r="106" spans="2:8" x14ac:dyDescent="0.2">
      <c r="B106" s="23">
        <v>101</v>
      </c>
      <c r="C106" s="24">
        <f t="shared" si="5"/>
        <v>0</v>
      </c>
      <c r="D106" s="24">
        <f>IF(C106&lt;=0.01,0,IF('🔢 Simulador'!C13="REDUCIR PLAZO",MIN('🔢 Simulador'!C10, C106*(1+'🔢 Simulador'!C9)),MIN(IFERROR(PMT('🔢 Simulador'!C9,'🔢 Simulador'!C8-100,-C106),0), C106*(1+'🔢 Simulador'!C9))))</f>
        <v>0</v>
      </c>
      <c r="E106" s="25">
        <f>IF(C106&lt;=0.01,0,C106*'🔢 Simulador'!$C$9)</f>
        <v>0</v>
      </c>
      <c r="F106" s="26">
        <f t="shared" si="3"/>
        <v>0</v>
      </c>
      <c r="G106" s="27">
        <f>IFERROR(SUMIFS('🔢 Simulador'!$F$8:$F$19, '🔢 Simulador'!$E$8:$E$19, B106),0)</f>
        <v>0</v>
      </c>
      <c r="H106" s="28">
        <f t="shared" si="4"/>
        <v>0</v>
      </c>
    </row>
    <row r="107" spans="2:8" x14ac:dyDescent="0.2">
      <c r="B107" s="23">
        <v>102</v>
      </c>
      <c r="C107" s="24">
        <f t="shared" si="5"/>
        <v>0</v>
      </c>
      <c r="D107" s="24">
        <f>IF(C107&lt;=0.01,0,IF('🔢 Simulador'!C13="REDUCIR PLAZO",MIN('🔢 Simulador'!C10, C107*(1+'🔢 Simulador'!C9)),MIN(IFERROR(PMT('🔢 Simulador'!C9,'🔢 Simulador'!C8-101,-C107),0), C107*(1+'🔢 Simulador'!C9))))</f>
        <v>0</v>
      </c>
      <c r="E107" s="25">
        <f>IF(C107&lt;=0.01,0,C107*'🔢 Simulador'!$C$9)</f>
        <v>0</v>
      </c>
      <c r="F107" s="26">
        <f t="shared" si="3"/>
        <v>0</v>
      </c>
      <c r="G107" s="27">
        <f>IFERROR(SUMIFS('🔢 Simulador'!$F$8:$F$19, '🔢 Simulador'!$E$8:$E$19, B107),0)</f>
        <v>0</v>
      </c>
      <c r="H107" s="28">
        <f t="shared" si="4"/>
        <v>0</v>
      </c>
    </row>
    <row r="108" spans="2:8" x14ac:dyDescent="0.2">
      <c r="B108" s="23">
        <v>103</v>
      </c>
      <c r="C108" s="24">
        <f t="shared" si="5"/>
        <v>0</v>
      </c>
      <c r="D108" s="24">
        <f>IF(C108&lt;=0.01,0,IF('🔢 Simulador'!C13="REDUCIR PLAZO",MIN('🔢 Simulador'!C10, C108*(1+'🔢 Simulador'!C9)),MIN(IFERROR(PMT('🔢 Simulador'!C9,'🔢 Simulador'!C8-102,-C108),0), C108*(1+'🔢 Simulador'!C9))))</f>
        <v>0</v>
      </c>
      <c r="E108" s="25">
        <f>IF(C108&lt;=0.01,0,C108*'🔢 Simulador'!$C$9)</f>
        <v>0</v>
      </c>
      <c r="F108" s="26">
        <f t="shared" si="3"/>
        <v>0</v>
      </c>
      <c r="G108" s="27">
        <f>IFERROR(SUMIFS('🔢 Simulador'!$F$8:$F$19, '🔢 Simulador'!$E$8:$E$19, B108),0)</f>
        <v>0</v>
      </c>
      <c r="H108" s="28">
        <f t="shared" si="4"/>
        <v>0</v>
      </c>
    </row>
    <row r="109" spans="2:8" x14ac:dyDescent="0.2">
      <c r="B109" s="23">
        <v>104</v>
      </c>
      <c r="C109" s="24">
        <f t="shared" si="5"/>
        <v>0</v>
      </c>
      <c r="D109" s="24">
        <f>IF(C109&lt;=0.01,0,IF('🔢 Simulador'!C13="REDUCIR PLAZO",MIN('🔢 Simulador'!C10, C109*(1+'🔢 Simulador'!C9)),MIN(IFERROR(PMT('🔢 Simulador'!C9,'🔢 Simulador'!C8-103,-C109),0), C109*(1+'🔢 Simulador'!C9))))</f>
        <v>0</v>
      </c>
      <c r="E109" s="25">
        <f>IF(C109&lt;=0.01,0,C109*'🔢 Simulador'!$C$9)</f>
        <v>0</v>
      </c>
      <c r="F109" s="26">
        <f t="shared" si="3"/>
        <v>0</v>
      </c>
      <c r="G109" s="27">
        <f>IFERROR(SUMIFS('🔢 Simulador'!$F$8:$F$19, '🔢 Simulador'!$E$8:$E$19, B109),0)</f>
        <v>0</v>
      </c>
      <c r="H109" s="28">
        <f t="shared" si="4"/>
        <v>0</v>
      </c>
    </row>
    <row r="110" spans="2:8" x14ac:dyDescent="0.2">
      <c r="B110" s="23">
        <v>105</v>
      </c>
      <c r="C110" s="24">
        <f t="shared" si="5"/>
        <v>0</v>
      </c>
      <c r="D110" s="24">
        <f>IF(C110&lt;=0.01,0,IF('🔢 Simulador'!C13="REDUCIR PLAZO",MIN('🔢 Simulador'!C10, C110*(1+'🔢 Simulador'!C9)),MIN(IFERROR(PMT('🔢 Simulador'!C9,'🔢 Simulador'!C8-104,-C110),0), C110*(1+'🔢 Simulador'!C9))))</f>
        <v>0</v>
      </c>
      <c r="E110" s="25">
        <f>IF(C110&lt;=0.01,0,C110*'🔢 Simulador'!$C$9)</f>
        <v>0</v>
      </c>
      <c r="F110" s="26">
        <f t="shared" si="3"/>
        <v>0</v>
      </c>
      <c r="G110" s="27">
        <f>IFERROR(SUMIFS('🔢 Simulador'!$F$8:$F$19, '🔢 Simulador'!$E$8:$E$19, B110),0)</f>
        <v>0</v>
      </c>
      <c r="H110" s="28">
        <f t="shared" si="4"/>
        <v>0</v>
      </c>
    </row>
    <row r="111" spans="2:8" x14ac:dyDescent="0.2">
      <c r="B111" s="23">
        <v>106</v>
      </c>
      <c r="C111" s="24">
        <f t="shared" si="5"/>
        <v>0</v>
      </c>
      <c r="D111" s="24">
        <f>IF(C111&lt;=0.01,0,IF('🔢 Simulador'!C13="REDUCIR PLAZO",MIN('🔢 Simulador'!C10, C111*(1+'🔢 Simulador'!C9)),MIN(IFERROR(PMT('🔢 Simulador'!C9,'🔢 Simulador'!C8-105,-C111),0), C111*(1+'🔢 Simulador'!C9))))</f>
        <v>0</v>
      </c>
      <c r="E111" s="25">
        <f>IF(C111&lt;=0.01,0,C111*'🔢 Simulador'!$C$9)</f>
        <v>0</v>
      </c>
      <c r="F111" s="26">
        <f t="shared" si="3"/>
        <v>0</v>
      </c>
      <c r="G111" s="27">
        <f>IFERROR(SUMIFS('🔢 Simulador'!$F$8:$F$19, '🔢 Simulador'!$E$8:$E$19, B111),0)</f>
        <v>0</v>
      </c>
      <c r="H111" s="28">
        <f t="shared" si="4"/>
        <v>0</v>
      </c>
    </row>
    <row r="112" spans="2:8" x14ac:dyDescent="0.2">
      <c r="B112" s="23">
        <v>107</v>
      </c>
      <c r="C112" s="24">
        <f t="shared" si="5"/>
        <v>0</v>
      </c>
      <c r="D112" s="24">
        <f>IF(C112&lt;=0.01,0,IF('🔢 Simulador'!C13="REDUCIR PLAZO",MIN('🔢 Simulador'!C10, C112*(1+'🔢 Simulador'!C9)),MIN(IFERROR(PMT('🔢 Simulador'!C9,'🔢 Simulador'!C8-106,-C112),0), C112*(1+'🔢 Simulador'!C9))))</f>
        <v>0</v>
      </c>
      <c r="E112" s="25">
        <f>IF(C112&lt;=0.01,0,C112*'🔢 Simulador'!$C$9)</f>
        <v>0</v>
      </c>
      <c r="F112" s="26">
        <f t="shared" si="3"/>
        <v>0</v>
      </c>
      <c r="G112" s="27">
        <f>IFERROR(SUMIFS('🔢 Simulador'!$F$8:$F$19, '🔢 Simulador'!$E$8:$E$19, B112),0)</f>
        <v>0</v>
      </c>
      <c r="H112" s="28">
        <f t="shared" si="4"/>
        <v>0</v>
      </c>
    </row>
    <row r="113" spans="2:8" x14ac:dyDescent="0.2">
      <c r="B113" s="23">
        <v>108</v>
      </c>
      <c r="C113" s="24">
        <f t="shared" si="5"/>
        <v>0</v>
      </c>
      <c r="D113" s="24">
        <f>IF(C113&lt;=0.01,0,IF('🔢 Simulador'!C13="REDUCIR PLAZO",MIN('🔢 Simulador'!C10, C113*(1+'🔢 Simulador'!C9)),MIN(IFERROR(PMT('🔢 Simulador'!C9,'🔢 Simulador'!C8-107,-C113),0), C113*(1+'🔢 Simulador'!C9))))</f>
        <v>0</v>
      </c>
      <c r="E113" s="25">
        <f>IF(C113&lt;=0.01,0,C113*'🔢 Simulador'!$C$9)</f>
        <v>0</v>
      </c>
      <c r="F113" s="26">
        <f t="shared" si="3"/>
        <v>0</v>
      </c>
      <c r="G113" s="27">
        <f>IFERROR(SUMIFS('🔢 Simulador'!$F$8:$F$19, '🔢 Simulador'!$E$8:$E$19, B113),0)</f>
        <v>0</v>
      </c>
      <c r="H113" s="28">
        <f t="shared" si="4"/>
        <v>0</v>
      </c>
    </row>
    <row r="114" spans="2:8" x14ac:dyDescent="0.2">
      <c r="B114" s="23">
        <v>109</v>
      </c>
      <c r="C114" s="24">
        <f t="shared" si="5"/>
        <v>0</v>
      </c>
      <c r="D114" s="24">
        <f>IF(C114&lt;=0.01,0,IF('🔢 Simulador'!C13="REDUCIR PLAZO",MIN('🔢 Simulador'!C10, C114*(1+'🔢 Simulador'!C9)),MIN(IFERROR(PMT('🔢 Simulador'!C9,'🔢 Simulador'!C8-108,-C114),0), C114*(1+'🔢 Simulador'!C9))))</f>
        <v>0</v>
      </c>
      <c r="E114" s="25">
        <f>IF(C114&lt;=0.01,0,C114*'🔢 Simulador'!$C$9)</f>
        <v>0</v>
      </c>
      <c r="F114" s="26">
        <f t="shared" si="3"/>
        <v>0</v>
      </c>
      <c r="G114" s="27">
        <f>IFERROR(SUMIFS('🔢 Simulador'!$F$8:$F$19, '🔢 Simulador'!$E$8:$E$19, B114),0)</f>
        <v>0</v>
      </c>
      <c r="H114" s="28">
        <f t="shared" si="4"/>
        <v>0</v>
      </c>
    </row>
    <row r="115" spans="2:8" x14ac:dyDescent="0.2">
      <c r="B115" s="23">
        <v>110</v>
      </c>
      <c r="C115" s="24">
        <f t="shared" si="5"/>
        <v>0</v>
      </c>
      <c r="D115" s="24">
        <f>IF(C115&lt;=0.01,0,IF('🔢 Simulador'!C13="REDUCIR PLAZO",MIN('🔢 Simulador'!C10, C115*(1+'🔢 Simulador'!C9)),MIN(IFERROR(PMT('🔢 Simulador'!C9,'🔢 Simulador'!C8-109,-C115),0), C115*(1+'🔢 Simulador'!C9))))</f>
        <v>0</v>
      </c>
      <c r="E115" s="25">
        <f>IF(C115&lt;=0.01,0,C115*'🔢 Simulador'!$C$9)</f>
        <v>0</v>
      </c>
      <c r="F115" s="26">
        <f t="shared" si="3"/>
        <v>0</v>
      </c>
      <c r="G115" s="27">
        <f>IFERROR(SUMIFS('🔢 Simulador'!$F$8:$F$19, '🔢 Simulador'!$E$8:$E$19, B115),0)</f>
        <v>0</v>
      </c>
      <c r="H115" s="28">
        <f t="shared" si="4"/>
        <v>0</v>
      </c>
    </row>
    <row r="116" spans="2:8" x14ac:dyDescent="0.2">
      <c r="B116" s="23">
        <v>111</v>
      </c>
      <c r="C116" s="24">
        <f t="shared" si="5"/>
        <v>0</v>
      </c>
      <c r="D116" s="24">
        <f>IF(C116&lt;=0.01,0,IF('🔢 Simulador'!C13="REDUCIR PLAZO",MIN('🔢 Simulador'!C10, C116*(1+'🔢 Simulador'!C9)),MIN(IFERROR(PMT('🔢 Simulador'!C9,'🔢 Simulador'!C8-110,-C116),0), C116*(1+'🔢 Simulador'!C9))))</f>
        <v>0</v>
      </c>
      <c r="E116" s="25">
        <f>IF(C116&lt;=0.01,0,C116*'🔢 Simulador'!$C$9)</f>
        <v>0</v>
      </c>
      <c r="F116" s="26">
        <f t="shared" si="3"/>
        <v>0</v>
      </c>
      <c r="G116" s="27">
        <f>IFERROR(SUMIFS('🔢 Simulador'!$F$8:$F$19, '🔢 Simulador'!$E$8:$E$19, B116),0)</f>
        <v>0</v>
      </c>
      <c r="H116" s="28">
        <f t="shared" si="4"/>
        <v>0</v>
      </c>
    </row>
    <row r="117" spans="2:8" x14ac:dyDescent="0.2">
      <c r="B117" s="23">
        <v>112</v>
      </c>
      <c r="C117" s="24">
        <f t="shared" si="5"/>
        <v>0</v>
      </c>
      <c r="D117" s="24">
        <f>IF(C117&lt;=0.01,0,IF('🔢 Simulador'!C13="REDUCIR PLAZO",MIN('🔢 Simulador'!C10, C117*(1+'🔢 Simulador'!C9)),MIN(IFERROR(PMT('🔢 Simulador'!C9,'🔢 Simulador'!C8-111,-C117),0), C117*(1+'🔢 Simulador'!C9))))</f>
        <v>0</v>
      </c>
      <c r="E117" s="25">
        <f>IF(C117&lt;=0.01,0,C117*'🔢 Simulador'!$C$9)</f>
        <v>0</v>
      </c>
      <c r="F117" s="26">
        <f t="shared" si="3"/>
        <v>0</v>
      </c>
      <c r="G117" s="27">
        <f>IFERROR(SUMIFS('🔢 Simulador'!$F$8:$F$19, '🔢 Simulador'!$E$8:$E$19, B117),0)</f>
        <v>0</v>
      </c>
      <c r="H117" s="28">
        <f t="shared" si="4"/>
        <v>0</v>
      </c>
    </row>
    <row r="118" spans="2:8" x14ac:dyDescent="0.2">
      <c r="B118" s="23">
        <v>113</v>
      </c>
      <c r="C118" s="24">
        <f t="shared" si="5"/>
        <v>0</v>
      </c>
      <c r="D118" s="24">
        <f>IF(C118&lt;=0.01,0,IF('🔢 Simulador'!C13="REDUCIR PLAZO",MIN('🔢 Simulador'!C10, C118*(1+'🔢 Simulador'!C9)),MIN(IFERROR(PMT('🔢 Simulador'!C9,'🔢 Simulador'!C8-112,-C118),0), C118*(1+'🔢 Simulador'!C9))))</f>
        <v>0</v>
      </c>
      <c r="E118" s="25">
        <f>IF(C118&lt;=0.01,0,C118*'🔢 Simulador'!$C$9)</f>
        <v>0</v>
      </c>
      <c r="F118" s="26">
        <f t="shared" si="3"/>
        <v>0</v>
      </c>
      <c r="G118" s="27">
        <f>IFERROR(SUMIFS('🔢 Simulador'!$F$8:$F$19, '🔢 Simulador'!$E$8:$E$19, B118),0)</f>
        <v>0</v>
      </c>
      <c r="H118" s="28">
        <f t="shared" si="4"/>
        <v>0</v>
      </c>
    </row>
    <row r="119" spans="2:8" x14ac:dyDescent="0.2">
      <c r="B119" s="23">
        <v>114</v>
      </c>
      <c r="C119" s="24">
        <f t="shared" si="5"/>
        <v>0</v>
      </c>
      <c r="D119" s="24">
        <f>IF(C119&lt;=0.01,0,IF('🔢 Simulador'!C13="REDUCIR PLAZO",MIN('🔢 Simulador'!C10, C119*(1+'🔢 Simulador'!C9)),MIN(IFERROR(PMT('🔢 Simulador'!C9,'🔢 Simulador'!C8-113,-C119),0), C119*(1+'🔢 Simulador'!C9))))</f>
        <v>0</v>
      </c>
      <c r="E119" s="25">
        <f>IF(C119&lt;=0.01,0,C119*'🔢 Simulador'!$C$9)</f>
        <v>0</v>
      </c>
      <c r="F119" s="26">
        <f t="shared" si="3"/>
        <v>0</v>
      </c>
      <c r="G119" s="27">
        <f>IFERROR(SUMIFS('🔢 Simulador'!$F$8:$F$19, '🔢 Simulador'!$E$8:$E$19, B119),0)</f>
        <v>0</v>
      </c>
      <c r="H119" s="28">
        <f t="shared" si="4"/>
        <v>0</v>
      </c>
    </row>
    <row r="120" spans="2:8" x14ac:dyDescent="0.2">
      <c r="B120" s="23">
        <v>115</v>
      </c>
      <c r="C120" s="24">
        <f t="shared" si="5"/>
        <v>0</v>
      </c>
      <c r="D120" s="24">
        <f>IF(C120&lt;=0.01,0,IF('🔢 Simulador'!C13="REDUCIR PLAZO",MIN('🔢 Simulador'!C10, C120*(1+'🔢 Simulador'!C9)),MIN(IFERROR(PMT('🔢 Simulador'!C9,'🔢 Simulador'!C8-114,-C120),0), C120*(1+'🔢 Simulador'!C9))))</f>
        <v>0</v>
      </c>
      <c r="E120" s="25">
        <f>IF(C120&lt;=0.01,0,C120*'🔢 Simulador'!$C$9)</f>
        <v>0</v>
      </c>
      <c r="F120" s="26">
        <f t="shared" si="3"/>
        <v>0</v>
      </c>
      <c r="G120" s="27">
        <f>IFERROR(SUMIFS('🔢 Simulador'!$F$8:$F$19, '🔢 Simulador'!$E$8:$E$19, B120),0)</f>
        <v>0</v>
      </c>
      <c r="H120" s="28">
        <f t="shared" si="4"/>
        <v>0</v>
      </c>
    </row>
    <row r="121" spans="2:8" x14ac:dyDescent="0.2">
      <c r="B121" s="23">
        <v>116</v>
      </c>
      <c r="C121" s="24">
        <f t="shared" si="5"/>
        <v>0</v>
      </c>
      <c r="D121" s="24">
        <f>IF(C121&lt;=0.01,0,IF('🔢 Simulador'!C13="REDUCIR PLAZO",MIN('🔢 Simulador'!C10, C121*(1+'🔢 Simulador'!C9)),MIN(IFERROR(PMT('🔢 Simulador'!C9,'🔢 Simulador'!C8-115,-C121),0), C121*(1+'🔢 Simulador'!C9))))</f>
        <v>0</v>
      </c>
      <c r="E121" s="25">
        <f>IF(C121&lt;=0.01,0,C121*'🔢 Simulador'!$C$9)</f>
        <v>0</v>
      </c>
      <c r="F121" s="26">
        <f t="shared" si="3"/>
        <v>0</v>
      </c>
      <c r="G121" s="27">
        <f>IFERROR(SUMIFS('🔢 Simulador'!$F$8:$F$19, '🔢 Simulador'!$E$8:$E$19, B121),0)</f>
        <v>0</v>
      </c>
      <c r="H121" s="28">
        <f t="shared" si="4"/>
        <v>0</v>
      </c>
    </row>
    <row r="122" spans="2:8" x14ac:dyDescent="0.2">
      <c r="B122" s="23">
        <v>117</v>
      </c>
      <c r="C122" s="24">
        <f t="shared" si="5"/>
        <v>0</v>
      </c>
      <c r="D122" s="24">
        <f>IF(C122&lt;=0.01,0,IF('🔢 Simulador'!C13="REDUCIR PLAZO",MIN('🔢 Simulador'!C10, C122*(1+'🔢 Simulador'!C9)),MIN(IFERROR(PMT('🔢 Simulador'!C9,'🔢 Simulador'!C8-116,-C122),0), C122*(1+'🔢 Simulador'!C9))))</f>
        <v>0</v>
      </c>
      <c r="E122" s="25">
        <f>IF(C122&lt;=0.01,0,C122*'🔢 Simulador'!$C$9)</f>
        <v>0</v>
      </c>
      <c r="F122" s="26">
        <f t="shared" si="3"/>
        <v>0</v>
      </c>
      <c r="G122" s="27">
        <f>IFERROR(SUMIFS('🔢 Simulador'!$F$8:$F$19, '🔢 Simulador'!$E$8:$E$19, B122),0)</f>
        <v>0</v>
      </c>
      <c r="H122" s="28">
        <f t="shared" si="4"/>
        <v>0</v>
      </c>
    </row>
    <row r="123" spans="2:8" x14ac:dyDescent="0.2">
      <c r="B123" s="23">
        <v>118</v>
      </c>
      <c r="C123" s="24">
        <f t="shared" si="5"/>
        <v>0</v>
      </c>
      <c r="D123" s="24">
        <f>IF(C123&lt;=0.01,0,IF('🔢 Simulador'!C13="REDUCIR PLAZO",MIN('🔢 Simulador'!C10, C123*(1+'🔢 Simulador'!C9)),MIN(IFERROR(PMT('🔢 Simulador'!C9,'🔢 Simulador'!C8-117,-C123),0), C123*(1+'🔢 Simulador'!C9))))</f>
        <v>0</v>
      </c>
      <c r="E123" s="25">
        <f>IF(C123&lt;=0.01,0,C123*'🔢 Simulador'!$C$9)</f>
        <v>0</v>
      </c>
      <c r="F123" s="26">
        <f t="shared" si="3"/>
        <v>0</v>
      </c>
      <c r="G123" s="27">
        <f>IFERROR(SUMIFS('🔢 Simulador'!$F$8:$F$19, '🔢 Simulador'!$E$8:$E$19, B123),0)</f>
        <v>0</v>
      </c>
      <c r="H123" s="28">
        <f t="shared" si="4"/>
        <v>0</v>
      </c>
    </row>
    <row r="124" spans="2:8" x14ac:dyDescent="0.2">
      <c r="B124" s="23">
        <v>119</v>
      </c>
      <c r="C124" s="24">
        <f t="shared" si="5"/>
        <v>0</v>
      </c>
      <c r="D124" s="24">
        <f>IF(C124&lt;=0.01,0,IF('🔢 Simulador'!C13="REDUCIR PLAZO",MIN('🔢 Simulador'!C10, C124*(1+'🔢 Simulador'!C9)),MIN(IFERROR(PMT('🔢 Simulador'!C9,'🔢 Simulador'!C8-118,-C124),0), C124*(1+'🔢 Simulador'!C9))))</f>
        <v>0</v>
      </c>
      <c r="E124" s="25">
        <f>IF(C124&lt;=0.01,0,C124*'🔢 Simulador'!$C$9)</f>
        <v>0</v>
      </c>
      <c r="F124" s="26">
        <f t="shared" si="3"/>
        <v>0</v>
      </c>
      <c r="G124" s="27">
        <f>IFERROR(SUMIFS('🔢 Simulador'!$F$8:$F$19, '🔢 Simulador'!$E$8:$E$19, B124),0)</f>
        <v>0</v>
      </c>
      <c r="H124" s="28">
        <f t="shared" si="4"/>
        <v>0</v>
      </c>
    </row>
    <row r="125" spans="2:8" x14ac:dyDescent="0.2">
      <c r="B125" s="23">
        <v>120</v>
      </c>
      <c r="C125" s="24">
        <f t="shared" si="5"/>
        <v>0</v>
      </c>
      <c r="D125" s="24">
        <f>IF(C125&lt;=0.01,0,IF('🔢 Simulador'!C13="REDUCIR PLAZO",MIN('🔢 Simulador'!C10, C125*(1+'🔢 Simulador'!C9)),MIN(IFERROR(PMT('🔢 Simulador'!C9,'🔢 Simulador'!C8-119,-C125),0), C125*(1+'🔢 Simulador'!C9))))</f>
        <v>0</v>
      </c>
      <c r="E125" s="25">
        <f>IF(C125&lt;=0.01,0,C125*'🔢 Simulador'!$C$9)</f>
        <v>0</v>
      </c>
      <c r="F125" s="26">
        <f t="shared" si="3"/>
        <v>0</v>
      </c>
      <c r="G125" s="27">
        <f>IFERROR(SUMIFS('🔢 Simulador'!$F$8:$F$19, '🔢 Simulador'!$E$8:$E$19, B125),0)</f>
        <v>0</v>
      </c>
      <c r="H125" s="28">
        <f t="shared" si="4"/>
        <v>0</v>
      </c>
    </row>
    <row r="126" spans="2:8" x14ac:dyDescent="0.2">
      <c r="B126" s="23">
        <v>121</v>
      </c>
      <c r="C126" s="24">
        <f t="shared" si="5"/>
        <v>0</v>
      </c>
      <c r="D126" s="24">
        <f>IF(C126&lt;=0.01,0,IF('🔢 Simulador'!C13="REDUCIR PLAZO",MIN('🔢 Simulador'!C10, C126*(1+'🔢 Simulador'!C9)),MIN(IFERROR(PMT('🔢 Simulador'!C9,'🔢 Simulador'!C8-120,-C126),0), C126*(1+'🔢 Simulador'!C9))))</f>
        <v>0</v>
      </c>
      <c r="E126" s="25">
        <f>IF(C126&lt;=0.01,0,C126*'🔢 Simulador'!$C$9)</f>
        <v>0</v>
      </c>
      <c r="F126" s="26">
        <f t="shared" si="3"/>
        <v>0</v>
      </c>
      <c r="G126" s="27">
        <f>IFERROR(SUMIFS('🔢 Simulador'!$F$8:$F$19, '🔢 Simulador'!$E$8:$E$19, B126),0)</f>
        <v>0</v>
      </c>
      <c r="H126" s="28">
        <f t="shared" si="4"/>
        <v>0</v>
      </c>
    </row>
    <row r="127" spans="2:8" x14ac:dyDescent="0.2">
      <c r="B127" s="23">
        <v>122</v>
      </c>
      <c r="C127" s="24">
        <f t="shared" si="5"/>
        <v>0</v>
      </c>
      <c r="D127" s="24">
        <f>IF(C127&lt;=0.01,0,IF('🔢 Simulador'!C13="REDUCIR PLAZO",MIN('🔢 Simulador'!C10, C127*(1+'🔢 Simulador'!C9)),MIN(IFERROR(PMT('🔢 Simulador'!C9,'🔢 Simulador'!C8-121,-C127),0), C127*(1+'🔢 Simulador'!C9))))</f>
        <v>0</v>
      </c>
      <c r="E127" s="25">
        <f>IF(C127&lt;=0.01,0,C127*'🔢 Simulador'!$C$9)</f>
        <v>0</v>
      </c>
      <c r="F127" s="26">
        <f t="shared" si="3"/>
        <v>0</v>
      </c>
      <c r="G127" s="27">
        <f>IFERROR(SUMIFS('🔢 Simulador'!$F$8:$F$19, '🔢 Simulador'!$E$8:$E$19, B127),0)</f>
        <v>0</v>
      </c>
      <c r="H127" s="28">
        <f t="shared" si="4"/>
        <v>0</v>
      </c>
    </row>
    <row r="128" spans="2:8" x14ac:dyDescent="0.2">
      <c r="B128" s="23">
        <v>123</v>
      </c>
      <c r="C128" s="24">
        <f t="shared" si="5"/>
        <v>0</v>
      </c>
      <c r="D128" s="24">
        <f>IF(C128&lt;=0.01,0,IF('🔢 Simulador'!C13="REDUCIR PLAZO",MIN('🔢 Simulador'!C10, C128*(1+'🔢 Simulador'!C9)),MIN(IFERROR(PMT('🔢 Simulador'!C9,'🔢 Simulador'!C8-122,-C128),0), C128*(1+'🔢 Simulador'!C9))))</f>
        <v>0</v>
      </c>
      <c r="E128" s="25">
        <f>IF(C128&lt;=0.01,0,C128*'🔢 Simulador'!$C$9)</f>
        <v>0</v>
      </c>
      <c r="F128" s="26">
        <f t="shared" si="3"/>
        <v>0</v>
      </c>
      <c r="G128" s="27">
        <f>IFERROR(SUMIFS('🔢 Simulador'!$F$8:$F$19, '🔢 Simulador'!$E$8:$E$19, B128),0)</f>
        <v>0</v>
      </c>
      <c r="H128" s="28">
        <f t="shared" si="4"/>
        <v>0</v>
      </c>
    </row>
    <row r="129" spans="2:8" x14ac:dyDescent="0.2">
      <c r="B129" s="23">
        <v>124</v>
      </c>
      <c r="C129" s="24">
        <f t="shared" si="5"/>
        <v>0</v>
      </c>
      <c r="D129" s="24">
        <f>IF(C129&lt;=0.01,0,IF('🔢 Simulador'!C13="REDUCIR PLAZO",MIN('🔢 Simulador'!C10, C129*(1+'🔢 Simulador'!C9)),MIN(IFERROR(PMT('🔢 Simulador'!C9,'🔢 Simulador'!C8-123,-C129),0), C129*(1+'🔢 Simulador'!C9))))</f>
        <v>0</v>
      </c>
      <c r="E129" s="25">
        <f>IF(C129&lt;=0.01,0,C129*'🔢 Simulador'!$C$9)</f>
        <v>0</v>
      </c>
      <c r="F129" s="26">
        <f t="shared" si="3"/>
        <v>0</v>
      </c>
      <c r="G129" s="27">
        <f>IFERROR(SUMIFS('🔢 Simulador'!$F$8:$F$19, '🔢 Simulador'!$E$8:$E$19, B129),0)</f>
        <v>0</v>
      </c>
      <c r="H129" s="28">
        <f t="shared" si="4"/>
        <v>0</v>
      </c>
    </row>
    <row r="130" spans="2:8" x14ac:dyDescent="0.2">
      <c r="B130" s="23">
        <v>125</v>
      </c>
      <c r="C130" s="24">
        <f t="shared" si="5"/>
        <v>0</v>
      </c>
      <c r="D130" s="24">
        <f>IF(C130&lt;=0.01,0,IF('🔢 Simulador'!C13="REDUCIR PLAZO",MIN('🔢 Simulador'!C10, C130*(1+'🔢 Simulador'!C9)),MIN(IFERROR(PMT('🔢 Simulador'!C9,'🔢 Simulador'!C8-124,-C130),0), C130*(1+'🔢 Simulador'!C9))))</f>
        <v>0</v>
      </c>
      <c r="E130" s="25">
        <f>IF(C130&lt;=0.01,0,C130*'🔢 Simulador'!$C$9)</f>
        <v>0</v>
      </c>
      <c r="F130" s="26">
        <f t="shared" si="3"/>
        <v>0</v>
      </c>
      <c r="G130" s="27">
        <f>IFERROR(SUMIFS('🔢 Simulador'!$F$8:$F$19, '🔢 Simulador'!$E$8:$E$19, B130),0)</f>
        <v>0</v>
      </c>
      <c r="H130" s="28">
        <f t="shared" si="4"/>
        <v>0</v>
      </c>
    </row>
    <row r="131" spans="2:8" x14ac:dyDescent="0.2">
      <c r="B131" s="23">
        <v>126</v>
      </c>
      <c r="C131" s="24">
        <f t="shared" si="5"/>
        <v>0</v>
      </c>
      <c r="D131" s="24">
        <f>IF(C131&lt;=0.01,0,IF('🔢 Simulador'!C13="REDUCIR PLAZO",MIN('🔢 Simulador'!C10, C131*(1+'🔢 Simulador'!C9)),MIN(IFERROR(PMT('🔢 Simulador'!C9,'🔢 Simulador'!C8-125,-C131),0), C131*(1+'🔢 Simulador'!C9))))</f>
        <v>0</v>
      </c>
      <c r="E131" s="25">
        <f>IF(C131&lt;=0.01,0,C131*'🔢 Simulador'!$C$9)</f>
        <v>0</v>
      </c>
      <c r="F131" s="26">
        <f t="shared" si="3"/>
        <v>0</v>
      </c>
      <c r="G131" s="27">
        <f>IFERROR(SUMIFS('🔢 Simulador'!$F$8:$F$19, '🔢 Simulador'!$E$8:$E$19, B131),0)</f>
        <v>0</v>
      </c>
      <c r="H131" s="28">
        <f t="shared" si="4"/>
        <v>0</v>
      </c>
    </row>
    <row r="132" spans="2:8" x14ac:dyDescent="0.2">
      <c r="B132" s="23">
        <v>127</v>
      </c>
      <c r="C132" s="24">
        <f t="shared" si="5"/>
        <v>0</v>
      </c>
      <c r="D132" s="24">
        <f>IF(C132&lt;=0.01,0,IF('🔢 Simulador'!C13="REDUCIR PLAZO",MIN('🔢 Simulador'!C10, C132*(1+'🔢 Simulador'!C9)),MIN(IFERROR(PMT('🔢 Simulador'!C9,'🔢 Simulador'!C8-126,-C132),0), C132*(1+'🔢 Simulador'!C9))))</f>
        <v>0</v>
      </c>
      <c r="E132" s="25">
        <f>IF(C132&lt;=0.01,0,C132*'🔢 Simulador'!$C$9)</f>
        <v>0</v>
      </c>
      <c r="F132" s="26">
        <f t="shared" si="3"/>
        <v>0</v>
      </c>
      <c r="G132" s="27">
        <f>IFERROR(SUMIFS('🔢 Simulador'!$F$8:$F$19, '🔢 Simulador'!$E$8:$E$19, B132),0)</f>
        <v>0</v>
      </c>
      <c r="H132" s="28">
        <f t="shared" si="4"/>
        <v>0</v>
      </c>
    </row>
    <row r="133" spans="2:8" x14ac:dyDescent="0.2">
      <c r="B133" s="23">
        <v>128</v>
      </c>
      <c r="C133" s="24">
        <f t="shared" si="5"/>
        <v>0</v>
      </c>
      <c r="D133" s="24">
        <f>IF(C133&lt;=0.01,0,IF('🔢 Simulador'!C13="REDUCIR PLAZO",MIN('🔢 Simulador'!C10, C133*(1+'🔢 Simulador'!C9)),MIN(IFERROR(PMT('🔢 Simulador'!C9,'🔢 Simulador'!C8-127,-C133),0), C133*(1+'🔢 Simulador'!C9))))</f>
        <v>0</v>
      </c>
      <c r="E133" s="25">
        <f>IF(C133&lt;=0.01,0,C133*'🔢 Simulador'!$C$9)</f>
        <v>0</v>
      </c>
      <c r="F133" s="26">
        <f t="shared" si="3"/>
        <v>0</v>
      </c>
      <c r="G133" s="27">
        <f>IFERROR(SUMIFS('🔢 Simulador'!$F$8:$F$19, '🔢 Simulador'!$E$8:$E$19, B133),0)</f>
        <v>0</v>
      </c>
      <c r="H133" s="28">
        <f t="shared" si="4"/>
        <v>0</v>
      </c>
    </row>
    <row r="134" spans="2:8" x14ac:dyDescent="0.2">
      <c r="B134" s="23">
        <v>129</v>
      </c>
      <c r="C134" s="24">
        <f t="shared" si="5"/>
        <v>0</v>
      </c>
      <c r="D134" s="24">
        <f>IF(C134&lt;=0.01,0,IF('🔢 Simulador'!C13="REDUCIR PLAZO",MIN('🔢 Simulador'!C10, C134*(1+'🔢 Simulador'!C9)),MIN(IFERROR(PMT('🔢 Simulador'!C9,'🔢 Simulador'!C8-128,-C134),0), C134*(1+'🔢 Simulador'!C9))))</f>
        <v>0</v>
      </c>
      <c r="E134" s="25">
        <f>IF(C134&lt;=0.01,0,C134*'🔢 Simulador'!$C$9)</f>
        <v>0</v>
      </c>
      <c r="F134" s="26">
        <f t="shared" ref="F134:F197" si="6">MAX(0, D134-E134)</f>
        <v>0</v>
      </c>
      <c r="G134" s="27">
        <f>IFERROR(SUMIFS('🔢 Simulador'!$F$8:$F$19, '🔢 Simulador'!$E$8:$E$19, B134),0)</f>
        <v>0</v>
      </c>
      <c r="H134" s="28">
        <f t="shared" ref="H134:H197" si="7">MAX(0, C134-F134-G134)</f>
        <v>0</v>
      </c>
    </row>
    <row r="135" spans="2:8" x14ac:dyDescent="0.2">
      <c r="B135" s="23">
        <v>130</v>
      </c>
      <c r="C135" s="24">
        <f t="shared" ref="C135:C198" si="8">IF(H134&lt;=0.01,0,H134)</f>
        <v>0</v>
      </c>
      <c r="D135" s="24">
        <f>IF(C135&lt;=0.01,0,IF('🔢 Simulador'!C13="REDUCIR PLAZO",MIN('🔢 Simulador'!C10, C135*(1+'🔢 Simulador'!C9)),MIN(IFERROR(PMT('🔢 Simulador'!C9,'🔢 Simulador'!C8-129,-C135),0), C135*(1+'🔢 Simulador'!C9))))</f>
        <v>0</v>
      </c>
      <c r="E135" s="25">
        <f>IF(C135&lt;=0.01,0,C135*'🔢 Simulador'!$C$9)</f>
        <v>0</v>
      </c>
      <c r="F135" s="26">
        <f t="shared" si="6"/>
        <v>0</v>
      </c>
      <c r="G135" s="27">
        <f>IFERROR(SUMIFS('🔢 Simulador'!$F$8:$F$19, '🔢 Simulador'!$E$8:$E$19, B135),0)</f>
        <v>0</v>
      </c>
      <c r="H135" s="28">
        <f t="shared" si="7"/>
        <v>0</v>
      </c>
    </row>
    <row r="136" spans="2:8" x14ac:dyDescent="0.2">
      <c r="B136" s="23">
        <v>131</v>
      </c>
      <c r="C136" s="24">
        <f t="shared" si="8"/>
        <v>0</v>
      </c>
      <c r="D136" s="24">
        <f>IF(C136&lt;=0.01,0,IF('🔢 Simulador'!C13="REDUCIR PLAZO",MIN('🔢 Simulador'!C10, C136*(1+'🔢 Simulador'!C9)),MIN(IFERROR(PMT('🔢 Simulador'!C9,'🔢 Simulador'!C8-130,-C136),0), C136*(1+'🔢 Simulador'!C9))))</f>
        <v>0</v>
      </c>
      <c r="E136" s="25">
        <f>IF(C136&lt;=0.01,0,C136*'🔢 Simulador'!$C$9)</f>
        <v>0</v>
      </c>
      <c r="F136" s="26">
        <f t="shared" si="6"/>
        <v>0</v>
      </c>
      <c r="G136" s="27">
        <f>IFERROR(SUMIFS('🔢 Simulador'!$F$8:$F$19, '🔢 Simulador'!$E$8:$E$19, B136),0)</f>
        <v>0</v>
      </c>
      <c r="H136" s="28">
        <f t="shared" si="7"/>
        <v>0</v>
      </c>
    </row>
    <row r="137" spans="2:8" x14ac:dyDescent="0.2">
      <c r="B137" s="23">
        <v>132</v>
      </c>
      <c r="C137" s="24">
        <f t="shared" si="8"/>
        <v>0</v>
      </c>
      <c r="D137" s="24">
        <f>IF(C137&lt;=0.01,0,IF('🔢 Simulador'!C13="REDUCIR PLAZO",MIN('🔢 Simulador'!C10, C137*(1+'🔢 Simulador'!C9)),MIN(IFERROR(PMT('🔢 Simulador'!C9,'🔢 Simulador'!C8-131,-C137),0), C137*(1+'🔢 Simulador'!C9))))</f>
        <v>0</v>
      </c>
      <c r="E137" s="25">
        <f>IF(C137&lt;=0.01,0,C137*'🔢 Simulador'!$C$9)</f>
        <v>0</v>
      </c>
      <c r="F137" s="26">
        <f t="shared" si="6"/>
        <v>0</v>
      </c>
      <c r="G137" s="27">
        <f>IFERROR(SUMIFS('🔢 Simulador'!$F$8:$F$19, '🔢 Simulador'!$E$8:$E$19, B137),0)</f>
        <v>0</v>
      </c>
      <c r="H137" s="28">
        <f t="shared" si="7"/>
        <v>0</v>
      </c>
    </row>
    <row r="138" spans="2:8" x14ac:dyDescent="0.2">
      <c r="B138" s="23">
        <v>133</v>
      </c>
      <c r="C138" s="24">
        <f t="shared" si="8"/>
        <v>0</v>
      </c>
      <c r="D138" s="24">
        <f>IF(C138&lt;=0.01,0,IF('🔢 Simulador'!C13="REDUCIR PLAZO",MIN('🔢 Simulador'!C10, C138*(1+'🔢 Simulador'!C9)),MIN(IFERROR(PMT('🔢 Simulador'!C9,'🔢 Simulador'!C8-132,-C138),0), C138*(1+'🔢 Simulador'!C9))))</f>
        <v>0</v>
      </c>
      <c r="E138" s="25">
        <f>IF(C138&lt;=0.01,0,C138*'🔢 Simulador'!$C$9)</f>
        <v>0</v>
      </c>
      <c r="F138" s="26">
        <f t="shared" si="6"/>
        <v>0</v>
      </c>
      <c r="G138" s="27">
        <f>IFERROR(SUMIFS('🔢 Simulador'!$F$8:$F$19, '🔢 Simulador'!$E$8:$E$19, B138),0)</f>
        <v>0</v>
      </c>
      <c r="H138" s="28">
        <f t="shared" si="7"/>
        <v>0</v>
      </c>
    </row>
    <row r="139" spans="2:8" x14ac:dyDescent="0.2">
      <c r="B139" s="23">
        <v>134</v>
      </c>
      <c r="C139" s="24">
        <f t="shared" si="8"/>
        <v>0</v>
      </c>
      <c r="D139" s="24">
        <f>IF(C139&lt;=0.01,0,IF('🔢 Simulador'!C13="REDUCIR PLAZO",MIN('🔢 Simulador'!C10, C139*(1+'🔢 Simulador'!C9)),MIN(IFERROR(PMT('🔢 Simulador'!C9,'🔢 Simulador'!C8-133,-C139),0), C139*(1+'🔢 Simulador'!C9))))</f>
        <v>0</v>
      </c>
      <c r="E139" s="25">
        <f>IF(C139&lt;=0.01,0,C139*'🔢 Simulador'!$C$9)</f>
        <v>0</v>
      </c>
      <c r="F139" s="26">
        <f t="shared" si="6"/>
        <v>0</v>
      </c>
      <c r="G139" s="27">
        <f>IFERROR(SUMIFS('🔢 Simulador'!$F$8:$F$19, '🔢 Simulador'!$E$8:$E$19, B139),0)</f>
        <v>0</v>
      </c>
      <c r="H139" s="28">
        <f t="shared" si="7"/>
        <v>0</v>
      </c>
    </row>
    <row r="140" spans="2:8" x14ac:dyDescent="0.2">
      <c r="B140" s="23">
        <v>135</v>
      </c>
      <c r="C140" s="24">
        <f t="shared" si="8"/>
        <v>0</v>
      </c>
      <c r="D140" s="24">
        <f>IF(C140&lt;=0.01,0,IF('🔢 Simulador'!C13="REDUCIR PLAZO",MIN('🔢 Simulador'!C10, C140*(1+'🔢 Simulador'!C9)),MIN(IFERROR(PMT('🔢 Simulador'!C9,'🔢 Simulador'!C8-134,-C140),0), C140*(1+'🔢 Simulador'!C9))))</f>
        <v>0</v>
      </c>
      <c r="E140" s="25">
        <f>IF(C140&lt;=0.01,0,C140*'🔢 Simulador'!$C$9)</f>
        <v>0</v>
      </c>
      <c r="F140" s="26">
        <f t="shared" si="6"/>
        <v>0</v>
      </c>
      <c r="G140" s="27">
        <f>IFERROR(SUMIFS('🔢 Simulador'!$F$8:$F$19, '🔢 Simulador'!$E$8:$E$19, B140),0)</f>
        <v>0</v>
      </c>
      <c r="H140" s="28">
        <f t="shared" si="7"/>
        <v>0</v>
      </c>
    </row>
    <row r="141" spans="2:8" x14ac:dyDescent="0.2">
      <c r="B141" s="23">
        <v>136</v>
      </c>
      <c r="C141" s="24">
        <f t="shared" si="8"/>
        <v>0</v>
      </c>
      <c r="D141" s="24">
        <f>IF(C141&lt;=0.01,0,IF('🔢 Simulador'!C13="REDUCIR PLAZO",MIN('🔢 Simulador'!C10, C141*(1+'🔢 Simulador'!C9)),MIN(IFERROR(PMT('🔢 Simulador'!C9,'🔢 Simulador'!C8-135,-C141),0), C141*(1+'🔢 Simulador'!C9))))</f>
        <v>0</v>
      </c>
      <c r="E141" s="25">
        <f>IF(C141&lt;=0.01,0,C141*'🔢 Simulador'!$C$9)</f>
        <v>0</v>
      </c>
      <c r="F141" s="26">
        <f t="shared" si="6"/>
        <v>0</v>
      </c>
      <c r="G141" s="27">
        <f>IFERROR(SUMIFS('🔢 Simulador'!$F$8:$F$19, '🔢 Simulador'!$E$8:$E$19, B141),0)</f>
        <v>0</v>
      </c>
      <c r="H141" s="28">
        <f t="shared" si="7"/>
        <v>0</v>
      </c>
    </row>
    <row r="142" spans="2:8" x14ac:dyDescent="0.2">
      <c r="B142" s="23">
        <v>137</v>
      </c>
      <c r="C142" s="24">
        <f t="shared" si="8"/>
        <v>0</v>
      </c>
      <c r="D142" s="24">
        <f>IF(C142&lt;=0.01,0,IF('🔢 Simulador'!C13="REDUCIR PLAZO",MIN('🔢 Simulador'!C10, C142*(1+'🔢 Simulador'!C9)),MIN(IFERROR(PMT('🔢 Simulador'!C9,'🔢 Simulador'!C8-136,-C142),0), C142*(1+'🔢 Simulador'!C9))))</f>
        <v>0</v>
      </c>
      <c r="E142" s="25">
        <f>IF(C142&lt;=0.01,0,C142*'🔢 Simulador'!$C$9)</f>
        <v>0</v>
      </c>
      <c r="F142" s="26">
        <f t="shared" si="6"/>
        <v>0</v>
      </c>
      <c r="G142" s="27">
        <f>IFERROR(SUMIFS('🔢 Simulador'!$F$8:$F$19, '🔢 Simulador'!$E$8:$E$19, B142),0)</f>
        <v>0</v>
      </c>
      <c r="H142" s="28">
        <f t="shared" si="7"/>
        <v>0</v>
      </c>
    </row>
    <row r="143" spans="2:8" x14ac:dyDescent="0.2">
      <c r="B143" s="23">
        <v>138</v>
      </c>
      <c r="C143" s="24">
        <f t="shared" si="8"/>
        <v>0</v>
      </c>
      <c r="D143" s="24">
        <f>IF(C143&lt;=0.01,0,IF('🔢 Simulador'!C13="REDUCIR PLAZO",MIN('🔢 Simulador'!C10, C143*(1+'🔢 Simulador'!C9)),MIN(IFERROR(PMT('🔢 Simulador'!C9,'🔢 Simulador'!C8-137,-C143),0), C143*(1+'🔢 Simulador'!C9))))</f>
        <v>0</v>
      </c>
      <c r="E143" s="25">
        <f>IF(C143&lt;=0.01,0,C143*'🔢 Simulador'!$C$9)</f>
        <v>0</v>
      </c>
      <c r="F143" s="26">
        <f t="shared" si="6"/>
        <v>0</v>
      </c>
      <c r="G143" s="27">
        <f>IFERROR(SUMIFS('🔢 Simulador'!$F$8:$F$19, '🔢 Simulador'!$E$8:$E$19, B143),0)</f>
        <v>0</v>
      </c>
      <c r="H143" s="28">
        <f t="shared" si="7"/>
        <v>0</v>
      </c>
    </row>
    <row r="144" spans="2:8" x14ac:dyDescent="0.2">
      <c r="B144" s="23">
        <v>139</v>
      </c>
      <c r="C144" s="24">
        <f t="shared" si="8"/>
        <v>0</v>
      </c>
      <c r="D144" s="24">
        <f>IF(C144&lt;=0.01,0,IF('🔢 Simulador'!C13="REDUCIR PLAZO",MIN('🔢 Simulador'!C10, C144*(1+'🔢 Simulador'!C9)),MIN(IFERROR(PMT('🔢 Simulador'!C9,'🔢 Simulador'!C8-138,-C144),0), C144*(1+'🔢 Simulador'!C9))))</f>
        <v>0</v>
      </c>
      <c r="E144" s="25">
        <f>IF(C144&lt;=0.01,0,C144*'🔢 Simulador'!$C$9)</f>
        <v>0</v>
      </c>
      <c r="F144" s="26">
        <f t="shared" si="6"/>
        <v>0</v>
      </c>
      <c r="G144" s="27">
        <f>IFERROR(SUMIFS('🔢 Simulador'!$F$8:$F$19, '🔢 Simulador'!$E$8:$E$19, B144),0)</f>
        <v>0</v>
      </c>
      <c r="H144" s="28">
        <f t="shared" si="7"/>
        <v>0</v>
      </c>
    </row>
    <row r="145" spans="2:8" x14ac:dyDescent="0.2">
      <c r="B145" s="23">
        <v>140</v>
      </c>
      <c r="C145" s="24">
        <f t="shared" si="8"/>
        <v>0</v>
      </c>
      <c r="D145" s="24">
        <f>IF(C145&lt;=0.01,0,IF('🔢 Simulador'!C13="REDUCIR PLAZO",MIN('🔢 Simulador'!C10, C145*(1+'🔢 Simulador'!C9)),MIN(IFERROR(PMT('🔢 Simulador'!C9,'🔢 Simulador'!C8-139,-C145),0), C145*(1+'🔢 Simulador'!C9))))</f>
        <v>0</v>
      </c>
      <c r="E145" s="25">
        <f>IF(C145&lt;=0.01,0,C145*'🔢 Simulador'!$C$9)</f>
        <v>0</v>
      </c>
      <c r="F145" s="26">
        <f t="shared" si="6"/>
        <v>0</v>
      </c>
      <c r="G145" s="27">
        <f>IFERROR(SUMIFS('🔢 Simulador'!$F$8:$F$19, '🔢 Simulador'!$E$8:$E$19, B145),0)</f>
        <v>0</v>
      </c>
      <c r="H145" s="28">
        <f t="shared" si="7"/>
        <v>0</v>
      </c>
    </row>
    <row r="146" spans="2:8" x14ac:dyDescent="0.2">
      <c r="B146" s="23">
        <v>141</v>
      </c>
      <c r="C146" s="24">
        <f t="shared" si="8"/>
        <v>0</v>
      </c>
      <c r="D146" s="24">
        <f>IF(C146&lt;=0.01,0,IF('🔢 Simulador'!C13="REDUCIR PLAZO",MIN('🔢 Simulador'!C10, C146*(1+'🔢 Simulador'!C9)),MIN(IFERROR(PMT('🔢 Simulador'!C9,'🔢 Simulador'!C8-140,-C146),0), C146*(1+'🔢 Simulador'!C9))))</f>
        <v>0</v>
      </c>
      <c r="E146" s="25">
        <f>IF(C146&lt;=0.01,0,C146*'🔢 Simulador'!$C$9)</f>
        <v>0</v>
      </c>
      <c r="F146" s="26">
        <f t="shared" si="6"/>
        <v>0</v>
      </c>
      <c r="G146" s="27">
        <f>IFERROR(SUMIFS('🔢 Simulador'!$F$8:$F$19, '🔢 Simulador'!$E$8:$E$19, B146),0)</f>
        <v>0</v>
      </c>
      <c r="H146" s="28">
        <f t="shared" si="7"/>
        <v>0</v>
      </c>
    </row>
    <row r="147" spans="2:8" x14ac:dyDescent="0.2">
      <c r="B147" s="23">
        <v>142</v>
      </c>
      <c r="C147" s="24">
        <f t="shared" si="8"/>
        <v>0</v>
      </c>
      <c r="D147" s="24">
        <f>IF(C147&lt;=0.01,0,IF('🔢 Simulador'!C13="REDUCIR PLAZO",MIN('🔢 Simulador'!C10, C147*(1+'🔢 Simulador'!C9)),MIN(IFERROR(PMT('🔢 Simulador'!C9,'🔢 Simulador'!C8-141,-C147),0), C147*(1+'🔢 Simulador'!C9))))</f>
        <v>0</v>
      </c>
      <c r="E147" s="25">
        <f>IF(C147&lt;=0.01,0,C147*'🔢 Simulador'!$C$9)</f>
        <v>0</v>
      </c>
      <c r="F147" s="26">
        <f t="shared" si="6"/>
        <v>0</v>
      </c>
      <c r="G147" s="27">
        <f>IFERROR(SUMIFS('🔢 Simulador'!$F$8:$F$19, '🔢 Simulador'!$E$8:$E$19, B147),0)</f>
        <v>0</v>
      </c>
      <c r="H147" s="28">
        <f t="shared" si="7"/>
        <v>0</v>
      </c>
    </row>
    <row r="148" spans="2:8" x14ac:dyDescent="0.2">
      <c r="B148" s="23">
        <v>143</v>
      </c>
      <c r="C148" s="24">
        <f t="shared" si="8"/>
        <v>0</v>
      </c>
      <c r="D148" s="24">
        <f>IF(C148&lt;=0.01,0,IF('🔢 Simulador'!C13="REDUCIR PLAZO",MIN('🔢 Simulador'!C10, C148*(1+'🔢 Simulador'!C9)),MIN(IFERROR(PMT('🔢 Simulador'!C9,'🔢 Simulador'!C8-142,-C148),0), C148*(1+'🔢 Simulador'!C9))))</f>
        <v>0</v>
      </c>
      <c r="E148" s="25">
        <f>IF(C148&lt;=0.01,0,C148*'🔢 Simulador'!$C$9)</f>
        <v>0</v>
      </c>
      <c r="F148" s="26">
        <f t="shared" si="6"/>
        <v>0</v>
      </c>
      <c r="G148" s="27">
        <f>IFERROR(SUMIFS('🔢 Simulador'!$F$8:$F$19, '🔢 Simulador'!$E$8:$E$19, B148),0)</f>
        <v>0</v>
      </c>
      <c r="H148" s="28">
        <f t="shared" si="7"/>
        <v>0</v>
      </c>
    </row>
    <row r="149" spans="2:8" x14ac:dyDescent="0.2">
      <c r="B149" s="23">
        <v>144</v>
      </c>
      <c r="C149" s="24">
        <f t="shared" si="8"/>
        <v>0</v>
      </c>
      <c r="D149" s="24">
        <f>IF(C149&lt;=0.01,0,IF('🔢 Simulador'!C13="REDUCIR PLAZO",MIN('🔢 Simulador'!C10, C149*(1+'🔢 Simulador'!C9)),MIN(IFERROR(PMT('🔢 Simulador'!C9,'🔢 Simulador'!C8-143,-C149),0), C149*(1+'🔢 Simulador'!C9))))</f>
        <v>0</v>
      </c>
      <c r="E149" s="25">
        <f>IF(C149&lt;=0.01,0,C149*'🔢 Simulador'!$C$9)</f>
        <v>0</v>
      </c>
      <c r="F149" s="26">
        <f t="shared" si="6"/>
        <v>0</v>
      </c>
      <c r="G149" s="27">
        <f>IFERROR(SUMIFS('🔢 Simulador'!$F$8:$F$19, '🔢 Simulador'!$E$8:$E$19, B149),0)</f>
        <v>0</v>
      </c>
      <c r="H149" s="28">
        <f t="shared" si="7"/>
        <v>0</v>
      </c>
    </row>
    <row r="150" spans="2:8" x14ac:dyDescent="0.2">
      <c r="B150" s="23">
        <v>145</v>
      </c>
      <c r="C150" s="24">
        <f t="shared" si="8"/>
        <v>0</v>
      </c>
      <c r="D150" s="24">
        <f>IF(C150&lt;=0.01,0,IF('🔢 Simulador'!C13="REDUCIR PLAZO",MIN('🔢 Simulador'!C10, C150*(1+'🔢 Simulador'!C9)),MIN(IFERROR(PMT('🔢 Simulador'!C9,'🔢 Simulador'!C8-144,-C150),0), C150*(1+'🔢 Simulador'!C9))))</f>
        <v>0</v>
      </c>
      <c r="E150" s="25">
        <f>IF(C150&lt;=0.01,0,C150*'🔢 Simulador'!$C$9)</f>
        <v>0</v>
      </c>
      <c r="F150" s="26">
        <f t="shared" si="6"/>
        <v>0</v>
      </c>
      <c r="G150" s="27">
        <f>IFERROR(SUMIFS('🔢 Simulador'!$F$8:$F$19, '🔢 Simulador'!$E$8:$E$19, B150),0)</f>
        <v>0</v>
      </c>
      <c r="H150" s="28">
        <f t="shared" si="7"/>
        <v>0</v>
      </c>
    </row>
    <row r="151" spans="2:8" x14ac:dyDescent="0.2">
      <c r="B151" s="23">
        <v>146</v>
      </c>
      <c r="C151" s="24">
        <f t="shared" si="8"/>
        <v>0</v>
      </c>
      <c r="D151" s="24">
        <f>IF(C151&lt;=0.01,0,IF('🔢 Simulador'!C13="REDUCIR PLAZO",MIN('🔢 Simulador'!C10, C151*(1+'🔢 Simulador'!C9)),MIN(IFERROR(PMT('🔢 Simulador'!C9,'🔢 Simulador'!C8-145,-C151),0), C151*(1+'🔢 Simulador'!C9))))</f>
        <v>0</v>
      </c>
      <c r="E151" s="25">
        <f>IF(C151&lt;=0.01,0,C151*'🔢 Simulador'!$C$9)</f>
        <v>0</v>
      </c>
      <c r="F151" s="26">
        <f t="shared" si="6"/>
        <v>0</v>
      </c>
      <c r="G151" s="27">
        <f>IFERROR(SUMIFS('🔢 Simulador'!$F$8:$F$19, '🔢 Simulador'!$E$8:$E$19, B151),0)</f>
        <v>0</v>
      </c>
      <c r="H151" s="28">
        <f t="shared" si="7"/>
        <v>0</v>
      </c>
    </row>
    <row r="152" spans="2:8" x14ac:dyDescent="0.2">
      <c r="B152" s="23">
        <v>147</v>
      </c>
      <c r="C152" s="24">
        <f t="shared" si="8"/>
        <v>0</v>
      </c>
      <c r="D152" s="24">
        <f>IF(C152&lt;=0.01,0,IF('🔢 Simulador'!C13="REDUCIR PLAZO",MIN('🔢 Simulador'!C10, C152*(1+'🔢 Simulador'!C9)),MIN(IFERROR(PMT('🔢 Simulador'!C9,'🔢 Simulador'!C8-146,-C152),0), C152*(1+'🔢 Simulador'!C9))))</f>
        <v>0</v>
      </c>
      <c r="E152" s="25">
        <f>IF(C152&lt;=0.01,0,C152*'🔢 Simulador'!$C$9)</f>
        <v>0</v>
      </c>
      <c r="F152" s="26">
        <f t="shared" si="6"/>
        <v>0</v>
      </c>
      <c r="G152" s="27">
        <f>IFERROR(SUMIFS('🔢 Simulador'!$F$8:$F$19, '🔢 Simulador'!$E$8:$E$19, B152),0)</f>
        <v>0</v>
      </c>
      <c r="H152" s="28">
        <f t="shared" si="7"/>
        <v>0</v>
      </c>
    </row>
    <row r="153" spans="2:8" x14ac:dyDescent="0.2">
      <c r="B153" s="23">
        <v>148</v>
      </c>
      <c r="C153" s="24">
        <f t="shared" si="8"/>
        <v>0</v>
      </c>
      <c r="D153" s="24">
        <f>IF(C153&lt;=0.01,0,IF('🔢 Simulador'!C13="REDUCIR PLAZO",MIN('🔢 Simulador'!C10, C153*(1+'🔢 Simulador'!C9)),MIN(IFERROR(PMT('🔢 Simulador'!C9,'🔢 Simulador'!C8-147,-C153),0), C153*(1+'🔢 Simulador'!C9))))</f>
        <v>0</v>
      </c>
      <c r="E153" s="25">
        <f>IF(C153&lt;=0.01,0,C153*'🔢 Simulador'!$C$9)</f>
        <v>0</v>
      </c>
      <c r="F153" s="26">
        <f t="shared" si="6"/>
        <v>0</v>
      </c>
      <c r="G153" s="27">
        <f>IFERROR(SUMIFS('🔢 Simulador'!$F$8:$F$19, '🔢 Simulador'!$E$8:$E$19, B153),0)</f>
        <v>0</v>
      </c>
      <c r="H153" s="28">
        <f t="shared" si="7"/>
        <v>0</v>
      </c>
    </row>
    <row r="154" spans="2:8" x14ac:dyDescent="0.2">
      <c r="B154" s="23">
        <v>149</v>
      </c>
      <c r="C154" s="24">
        <f t="shared" si="8"/>
        <v>0</v>
      </c>
      <c r="D154" s="24">
        <f>IF(C154&lt;=0.01,0,IF('🔢 Simulador'!C13="REDUCIR PLAZO",MIN('🔢 Simulador'!C10, C154*(1+'🔢 Simulador'!C9)),MIN(IFERROR(PMT('🔢 Simulador'!C9,'🔢 Simulador'!C8-148,-C154),0), C154*(1+'🔢 Simulador'!C9))))</f>
        <v>0</v>
      </c>
      <c r="E154" s="25">
        <f>IF(C154&lt;=0.01,0,C154*'🔢 Simulador'!$C$9)</f>
        <v>0</v>
      </c>
      <c r="F154" s="26">
        <f t="shared" si="6"/>
        <v>0</v>
      </c>
      <c r="G154" s="27">
        <f>IFERROR(SUMIFS('🔢 Simulador'!$F$8:$F$19, '🔢 Simulador'!$E$8:$E$19, B154),0)</f>
        <v>0</v>
      </c>
      <c r="H154" s="28">
        <f t="shared" si="7"/>
        <v>0</v>
      </c>
    </row>
    <row r="155" spans="2:8" x14ac:dyDescent="0.2">
      <c r="B155" s="23">
        <v>150</v>
      </c>
      <c r="C155" s="24">
        <f t="shared" si="8"/>
        <v>0</v>
      </c>
      <c r="D155" s="24">
        <f>IF(C155&lt;=0.01,0,IF('🔢 Simulador'!C13="REDUCIR PLAZO",MIN('🔢 Simulador'!C10, C155*(1+'🔢 Simulador'!C9)),MIN(IFERROR(PMT('🔢 Simulador'!C9,'🔢 Simulador'!C8-149,-C155),0), C155*(1+'🔢 Simulador'!C9))))</f>
        <v>0</v>
      </c>
      <c r="E155" s="25">
        <f>IF(C155&lt;=0.01,0,C155*'🔢 Simulador'!$C$9)</f>
        <v>0</v>
      </c>
      <c r="F155" s="26">
        <f t="shared" si="6"/>
        <v>0</v>
      </c>
      <c r="G155" s="27">
        <f>IFERROR(SUMIFS('🔢 Simulador'!$F$8:$F$19, '🔢 Simulador'!$E$8:$E$19, B155),0)</f>
        <v>0</v>
      </c>
      <c r="H155" s="28">
        <f t="shared" si="7"/>
        <v>0</v>
      </c>
    </row>
    <row r="156" spans="2:8" x14ac:dyDescent="0.2">
      <c r="B156" s="23">
        <v>151</v>
      </c>
      <c r="C156" s="24">
        <f t="shared" si="8"/>
        <v>0</v>
      </c>
      <c r="D156" s="24">
        <f>IF(C156&lt;=0.01,0,IF('🔢 Simulador'!C13="REDUCIR PLAZO",MIN('🔢 Simulador'!C10, C156*(1+'🔢 Simulador'!C9)),MIN(IFERROR(PMT('🔢 Simulador'!C9,'🔢 Simulador'!C8-150,-C156),0), C156*(1+'🔢 Simulador'!C9))))</f>
        <v>0</v>
      </c>
      <c r="E156" s="25">
        <f>IF(C156&lt;=0.01,0,C156*'🔢 Simulador'!$C$9)</f>
        <v>0</v>
      </c>
      <c r="F156" s="26">
        <f t="shared" si="6"/>
        <v>0</v>
      </c>
      <c r="G156" s="27">
        <f>IFERROR(SUMIFS('🔢 Simulador'!$F$8:$F$19, '🔢 Simulador'!$E$8:$E$19, B156),0)</f>
        <v>0</v>
      </c>
      <c r="H156" s="28">
        <f t="shared" si="7"/>
        <v>0</v>
      </c>
    </row>
    <row r="157" spans="2:8" x14ac:dyDescent="0.2">
      <c r="B157" s="23">
        <v>152</v>
      </c>
      <c r="C157" s="24">
        <f t="shared" si="8"/>
        <v>0</v>
      </c>
      <c r="D157" s="24">
        <f>IF(C157&lt;=0.01,0,IF('🔢 Simulador'!C13="REDUCIR PLAZO",MIN('🔢 Simulador'!C10, C157*(1+'🔢 Simulador'!C9)),MIN(IFERROR(PMT('🔢 Simulador'!C9,'🔢 Simulador'!C8-151,-C157),0), C157*(1+'🔢 Simulador'!C9))))</f>
        <v>0</v>
      </c>
      <c r="E157" s="25">
        <f>IF(C157&lt;=0.01,0,C157*'🔢 Simulador'!$C$9)</f>
        <v>0</v>
      </c>
      <c r="F157" s="26">
        <f t="shared" si="6"/>
        <v>0</v>
      </c>
      <c r="G157" s="27">
        <f>IFERROR(SUMIFS('🔢 Simulador'!$F$8:$F$19, '🔢 Simulador'!$E$8:$E$19, B157),0)</f>
        <v>0</v>
      </c>
      <c r="H157" s="28">
        <f t="shared" si="7"/>
        <v>0</v>
      </c>
    </row>
    <row r="158" spans="2:8" x14ac:dyDescent="0.2">
      <c r="B158" s="23">
        <v>153</v>
      </c>
      <c r="C158" s="24">
        <f t="shared" si="8"/>
        <v>0</v>
      </c>
      <c r="D158" s="24">
        <f>IF(C158&lt;=0.01,0,IF('🔢 Simulador'!C13="REDUCIR PLAZO",MIN('🔢 Simulador'!C10, C158*(1+'🔢 Simulador'!C9)),MIN(IFERROR(PMT('🔢 Simulador'!C9,'🔢 Simulador'!C8-152,-C158),0), C158*(1+'🔢 Simulador'!C9))))</f>
        <v>0</v>
      </c>
      <c r="E158" s="25">
        <f>IF(C158&lt;=0.01,0,C158*'🔢 Simulador'!$C$9)</f>
        <v>0</v>
      </c>
      <c r="F158" s="26">
        <f t="shared" si="6"/>
        <v>0</v>
      </c>
      <c r="G158" s="27">
        <f>IFERROR(SUMIFS('🔢 Simulador'!$F$8:$F$19, '🔢 Simulador'!$E$8:$E$19, B158),0)</f>
        <v>0</v>
      </c>
      <c r="H158" s="28">
        <f t="shared" si="7"/>
        <v>0</v>
      </c>
    </row>
    <row r="159" spans="2:8" x14ac:dyDescent="0.2">
      <c r="B159" s="23">
        <v>154</v>
      </c>
      <c r="C159" s="24">
        <f t="shared" si="8"/>
        <v>0</v>
      </c>
      <c r="D159" s="24">
        <f>IF(C159&lt;=0.01,0,IF('🔢 Simulador'!C13="REDUCIR PLAZO",MIN('🔢 Simulador'!C10, C159*(1+'🔢 Simulador'!C9)),MIN(IFERROR(PMT('🔢 Simulador'!C9,'🔢 Simulador'!C8-153,-C159),0), C159*(1+'🔢 Simulador'!C9))))</f>
        <v>0</v>
      </c>
      <c r="E159" s="25">
        <f>IF(C159&lt;=0.01,0,C159*'🔢 Simulador'!$C$9)</f>
        <v>0</v>
      </c>
      <c r="F159" s="26">
        <f t="shared" si="6"/>
        <v>0</v>
      </c>
      <c r="G159" s="27">
        <f>IFERROR(SUMIFS('🔢 Simulador'!$F$8:$F$19, '🔢 Simulador'!$E$8:$E$19, B159),0)</f>
        <v>0</v>
      </c>
      <c r="H159" s="28">
        <f t="shared" si="7"/>
        <v>0</v>
      </c>
    </row>
    <row r="160" spans="2:8" x14ac:dyDescent="0.2">
      <c r="B160" s="23">
        <v>155</v>
      </c>
      <c r="C160" s="24">
        <f t="shared" si="8"/>
        <v>0</v>
      </c>
      <c r="D160" s="24">
        <f>IF(C160&lt;=0.01,0,IF('🔢 Simulador'!C13="REDUCIR PLAZO",MIN('🔢 Simulador'!C10, C160*(1+'🔢 Simulador'!C9)),MIN(IFERROR(PMT('🔢 Simulador'!C9,'🔢 Simulador'!C8-154,-C160),0), C160*(1+'🔢 Simulador'!C9))))</f>
        <v>0</v>
      </c>
      <c r="E160" s="25">
        <f>IF(C160&lt;=0.01,0,C160*'🔢 Simulador'!$C$9)</f>
        <v>0</v>
      </c>
      <c r="F160" s="26">
        <f t="shared" si="6"/>
        <v>0</v>
      </c>
      <c r="G160" s="27">
        <f>IFERROR(SUMIFS('🔢 Simulador'!$F$8:$F$19, '🔢 Simulador'!$E$8:$E$19, B160),0)</f>
        <v>0</v>
      </c>
      <c r="H160" s="28">
        <f t="shared" si="7"/>
        <v>0</v>
      </c>
    </row>
    <row r="161" spans="2:8" x14ac:dyDescent="0.2">
      <c r="B161" s="23">
        <v>156</v>
      </c>
      <c r="C161" s="24">
        <f t="shared" si="8"/>
        <v>0</v>
      </c>
      <c r="D161" s="24">
        <f>IF(C161&lt;=0.01,0,IF('🔢 Simulador'!C13="REDUCIR PLAZO",MIN('🔢 Simulador'!C10, C161*(1+'🔢 Simulador'!C9)),MIN(IFERROR(PMT('🔢 Simulador'!C9,'🔢 Simulador'!C8-155,-C161),0), C161*(1+'🔢 Simulador'!C9))))</f>
        <v>0</v>
      </c>
      <c r="E161" s="25">
        <f>IF(C161&lt;=0.01,0,C161*'🔢 Simulador'!$C$9)</f>
        <v>0</v>
      </c>
      <c r="F161" s="26">
        <f t="shared" si="6"/>
        <v>0</v>
      </c>
      <c r="G161" s="27">
        <f>IFERROR(SUMIFS('🔢 Simulador'!$F$8:$F$19, '🔢 Simulador'!$E$8:$E$19, B161),0)</f>
        <v>0</v>
      </c>
      <c r="H161" s="28">
        <f t="shared" si="7"/>
        <v>0</v>
      </c>
    </row>
    <row r="162" spans="2:8" x14ac:dyDescent="0.2">
      <c r="B162" s="23">
        <v>157</v>
      </c>
      <c r="C162" s="24">
        <f t="shared" si="8"/>
        <v>0</v>
      </c>
      <c r="D162" s="24">
        <f>IF(C162&lt;=0.01,0,IF('🔢 Simulador'!C13="REDUCIR PLAZO",MIN('🔢 Simulador'!C10, C162*(1+'🔢 Simulador'!C9)),MIN(IFERROR(PMT('🔢 Simulador'!C9,'🔢 Simulador'!C8-156,-C162),0), C162*(1+'🔢 Simulador'!C9))))</f>
        <v>0</v>
      </c>
      <c r="E162" s="25">
        <f>IF(C162&lt;=0.01,0,C162*'🔢 Simulador'!$C$9)</f>
        <v>0</v>
      </c>
      <c r="F162" s="26">
        <f t="shared" si="6"/>
        <v>0</v>
      </c>
      <c r="G162" s="27">
        <f>IFERROR(SUMIFS('🔢 Simulador'!$F$8:$F$19, '🔢 Simulador'!$E$8:$E$19, B162),0)</f>
        <v>0</v>
      </c>
      <c r="H162" s="28">
        <f t="shared" si="7"/>
        <v>0</v>
      </c>
    </row>
    <row r="163" spans="2:8" x14ac:dyDescent="0.2">
      <c r="B163" s="23">
        <v>158</v>
      </c>
      <c r="C163" s="24">
        <f t="shared" si="8"/>
        <v>0</v>
      </c>
      <c r="D163" s="24">
        <f>IF(C163&lt;=0.01,0,IF('🔢 Simulador'!C13="REDUCIR PLAZO",MIN('🔢 Simulador'!C10, C163*(1+'🔢 Simulador'!C9)),MIN(IFERROR(PMT('🔢 Simulador'!C9,'🔢 Simulador'!C8-157,-C163),0), C163*(1+'🔢 Simulador'!C9))))</f>
        <v>0</v>
      </c>
      <c r="E163" s="25">
        <f>IF(C163&lt;=0.01,0,C163*'🔢 Simulador'!$C$9)</f>
        <v>0</v>
      </c>
      <c r="F163" s="26">
        <f t="shared" si="6"/>
        <v>0</v>
      </c>
      <c r="G163" s="27">
        <f>IFERROR(SUMIFS('🔢 Simulador'!$F$8:$F$19, '🔢 Simulador'!$E$8:$E$19, B163),0)</f>
        <v>0</v>
      </c>
      <c r="H163" s="28">
        <f t="shared" si="7"/>
        <v>0</v>
      </c>
    </row>
    <row r="164" spans="2:8" x14ac:dyDescent="0.2">
      <c r="B164" s="23">
        <v>159</v>
      </c>
      <c r="C164" s="24">
        <f t="shared" si="8"/>
        <v>0</v>
      </c>
      <c r="D164" s="24">
        <f>IF(C164&lt;=0.01,0,IF('🔢 Simulador'!C13="REDUCIR PLAZO",MIN('🔢 Simulador'!C10, C164*(1+'🔢 Simulador'!C9)),MIN(IFERROR(PMT('🔢 Simulador'!C9,'🔢 Simulador'!C8-158,-C164),0), C164*(1+'🔢 Simulador'!C9))))</f>
        <v>0</v>
      </c>
      <c r="E164" s="25">
        <f>IF(C164&lt;=0.01,0,C164*'🔢 Simulador'!$C$9)</f>
        <v>0</v>
      </c>
      <c r="F164" s="26">
        <f t="shared" si="6"/>
        <v>0</v>
      </c>
      <c r="G164" s="27">
        <f>IFERROR(SUMIFS('🔢 Simulador'!$F$8:$F$19, '🔢 Simulador'!$E$8:$E$19, B164),0)</f>
        <v>0</v>
      </c>
      <c r="H164" s="28">
        <f t="shared" si="7"/>
        <v>0</v>
      </c>
    </row>
    <row r="165" spans="2:8" x14ac:dyDescent="0.2">
      <c r="B165" s="23">
        <v>160</v>
      </c>
      <c r="C165" s="24">
        <f t="shared" si="8"/>
        <v>0</v>
      </c>
      <c r="D165" s="24">
        <f>IF(C165&lt;=0.01,0,IF('🔢 Simulador'!C13="REDUCIR PLAZO",MIN('🔢 Simulador'!C10, C165*(1+'🔢 Simulador'!C9)),MIN(IFERROR(PMT('🔢 Simulador'!C9,'🔢 Simulador'!C8-159,-C165),0), C165*(1+'🔢 Simulador'!C9))))</f>
        <v>0</v>
      </c>
      <c r="E165" s="25">
        <f>IF(C165&lt;=0.01,0,C165*'🔢 Simulador'!$C$9)</f>
        <v>0</v>
      </c>
      <c r="F165" s="26">
        <f t="shared" si="6"/>
        <v>0</v>
      </c>
      <c r="G165" s="27">
        <f>IFERROR(SUMIFS('🔢 Simulador'!$F$8:$F$19, '🔢 Simulador'!$E$8:$E$19, B165),0)</f>
        <v>0</v>
      </c>
      <c r="H165" s="28">
        <f t="shared" si="7"/>
        <v>0</v>
      </c>
    </row>
    <row r="166" spans="2:8" x14ac:dyDescent="0.2">
      <c r="B166" s="23">
        <v>161</v>
      </c>
      <c r="C166" s="24">
        <f t="shared" si="8"/>
        <v>0</v>
      </c>
      <c r="D166" s="24">
        <f>IF(C166&lt;=0.01,0,IF('🔢 Simulador'!C13="REDUCIR PLAZO",MIN('🔢 Simulador'!C10, C166*(1+'🔢 Simulador'!C9)),MIN(IFERROR(PMT('🔢 Simulador'!C9,'🔢 Simulador'!C8-160,-C166),0), C166*(1+'🔢 Simulador'!C9))))</f>
        <v>0</v>
      </c>
      <c r="E166" s="25">
        <f>IF(C166&lt;=0.01,0,C166*'🔢 Simulador'!$C$9)</f>
        <v>0</v>
      </c>
      <c r="F166" s="26">
        <f t="shared" si="6"/>
        <v>0</v>
      </c>
      <c r="G166" s="27">
        <f>IFERROR(SUMIFS('🔢 Simulador'!$F$8:$F$19, '🔢 Simulador'!$E$8:$E$19, B166),0)</f>
        <v>0</v>
      </c>
      <c r="H166" s="28">
        <f t="shared" si="7"/>
        <v>0</v>
      </c>
    </row>
    <row r="167" spans="2:8" x14ac:dyDescent="0.2">
      <c r="B167" s="23">
        <v>162</v>
      </c>
      <c r="C167" s="24">
        <f t="shared" si="8"/>
        <v>0</v>
      </c>
      <c r="D167" s="24">
        <f>IF(C167&lt;=0.01,0,IF('🔢 Simulador'!C13="REDUCIR PLAZO",MIN('🔢 Simulador'!C10, C167*(1+'🔢 Simulador'!C9)),MIN(IFERROR(PMT('🔢 Simulador'!C9,'🔢 Simulador'!C8-161,-C167),0), C167*(1+'🔢 Simulador'!C9))))</f>
        <v>0</v>
      </c>
      <c r="E167" s="25">
        <f>IF(C167&lt;=0.01,0,C167*'🔢 Simulador'!$C$9)</f>
        <v>0</v>
      </c>
      <c r="F167" s="26">
        <f t="shared" si="6"/>
        <v>0</v>
      </c>
      <c r="G167" s="27">
        <f>IFERROR(SUMIFS('🔢 Simulador'!$F$8:$F$19, '🔢 Simulador'!$E$8:$E$19, B167),0)</f>
        <v>0</v>
      </c>
      <c r="H167" s="28">
        <f t="shared" si="7"/>
        <v>0</v>
      </c>
    </row>
    <row r="168" spans="2:8" x14ac:dyDescent="0.2">
      <c r="B168" s="23">
        <v>163</v>
      </c>
      <c r="C168" s="24">
        <f t="shared" si="8"/>
        <v>0</v>
      </c>
      <c r="D168" s="24">
        <f>IF(C168&lt;=0.01,0,IF('🔢 Simulador'!C13="REDUCIR PLAZO",MIN('🔢 Simulador'!C10, C168*(1+'🔢 Simulador'!C9)),MIN(IFERROR(PMT('🔢 Simulador'!C9,'🔢 Simulador'!C8-162,-C168),0), C168*(1+'🔢 Simulador'!C9))))</f>
        <v>0</v>
      </c>
      <c r="E168" s="25">
        <f>IF(C168&lt;=0.01,0,C168*'🔢 Simulador'!$C$9)</f>
        <v>0</v>
      </c>
      <c r="F168" s="26">
        <f t="shared" si="6"/>
        <v>0</v>
      </c>
      <c r="G168" s="27">
        <f>IFERROR(SUMIFS('🔢 Simulador'!$F$8:$F$19, '🔢 Simulador'!$E$8:$E$19, B168),0)</f>
        <v>0</v>
      </c>
      <c r="H168" s="28">
        <f t="shared" si="7"/>
        <v>0</v>
      </c>
    </row>
    <row r="169" spans="2:8" x14ac:dyDescent="0.2">
      <c r="B169" s="23">
        <v>164</v>
      </c>
      <c r="C169" s="24">
        <f t="shared" si="8"/>
        <v>0</v>
      </c>
      <c r="D169" s="24">
        <f>IF(C169&lt;=0.01,0,IF('🔢 Simulador'!C13="REDUCIR PLAZO",MIN('🔢 Simulador'!C10, C169*(1+'🔢 Simulador'!C9)),MIN(IFERROR(PMT('🔢 Simulador'!C9,'🔢 Simulador'!C8-163,-C169),0), C169*(1+'🔢 Simulador'!C9))))</f>
        <v>0</v>
      </c>
      <c r="E169" s="25">
        <f>IF(C169&lt;=0.01,0,C169*'🔢 Simulador'!$C$9)</f>
        <v>0</v>
      </c>
      <c r="F169" s="26">
        <f t="shared" si="6"/>
        <v>0</v>
      </c>
      <c r="G169" s="27">
        <f>IFERROR(SUMIFS('🔢 Simulador'!$F$8:$F$19, '🔢 Simulador'!$E$8:$E$19, B169),0)</f>
        <v>0</v>
      </c>
      <c r="H169" s="28">
        <f t="shared" si="7"/>
        <v>0</v>
      </c>
    </row>
    <row r="170" spans="2:8" x14ac:dyDescent="0.2">
      <c r="B170" s="23">
        <v>165</v>
      </c>
      <c r="C170" s="24">
        <f t="shared" si="8"/>
        <v>0</v>
      </c>
      <c r="D170" s="24">
        <f>IF(C170&lt;=0.01,0,IF('🔢 Simulador'!C13="REDUCIR PLAZO",MIN('🔢 Simulador'!C10, C170*(1+'🔢 Simulador'!C9)),MIN(IFERROR(PMT('🔢 Simulador'!C9,'🔢 Simulador'!C8-164,-C170),0), C170*(1+'🔢 Simulador'!C9))))</f>
        <v>0</v>
      </c>
      <c r="E170" s="25">
        <f>IF(C170&lt;=0.01,0,C170*'🔢 Simulador'!$C$9)</f>
        <v>0</v>
      </c>
      <c r="F170" s="26">
        <f t="shared" si="6"/>
        <v>0</v>
      </c>
      <c r="G170" s="27">
        <f>IFERROR(SUMIFS('🔢 Simulador'!$F$8:$F$19, '🔢 Simulador'!$E$8:$E$19, B170),0)</f>
        <v>0</v>
      </c>
      <c r="H170" s="28">
        <f t="shared" si="7"/>
        <v>0</v>
      </c>
    </row>
    <row r="171" spans="2:8" x14ac:dyDescent="0.2">
      <c r="B171" s="23">
        <v>166</v>
      </c>
      <c r="C171" s="24">
        <f t="shared" si="8"/>
        <v>0</v>
      </c>
      <c r="D171" s="24">
        <f>IF(C171&lt;=0.01,0,IF('🔢 Simulador'!C13="REDUCIR PLAZO",MIN('🔢 Simulador'!C10, C171*(1+'🔢 Simulador'!C9)),MIN(IFERROR(PMT('🔢 Simulador'!C9,'🔢 Simulador'!C8-165,-C171),0), C171*(1+'🔢 Simulador'!C9))))</f>
        <v>0</v>
      </c>
      <c r="E171" s="25">
        <f>IF(C171&lt;=0.01,0,C171*'🔢 Simulador'!$C$9)</f>
        <v>0</v>
      </c>
      <c r="F171" s="26">
        <f t="shared" si="6"/>
        <v>0</v>
      </c>
      <c r="G171" s="27">
        <f>IFERROR(SUMIFS('🔢 Simulador'!$F$8:$F$19, '🔢 Simulador'!$E$8:$E$19, B171),0)</f>
        <v>0</v>
      </c>
      <c r="H171" s="28">
        <f t="shared" si="7"/>
        <v>0</v>
      </c>
    </row>
    <row r="172" spans="2:8" x14ac:dyDescent="0.2">
      <c r="B172" s="23">
        <v>167</v>
      </c>
      <c r="C172" s="24">
        <f t="shared" si="8"/>
        <v>0</v>
      </c>
      <c r="D172" s="24">
        <f>IF(C172&lt;=0.01,0,IF('🔢 Simulador'!C13="REDUCIR PLAZO",MIN('🔢 Simulador'!C10, C172*(1+'🔢 Simulador'!C9)),MIN(IFERROR(PMT('🔢 Simulador'!C9,'🔢 Simulador'!C8-166,-C172),0), C172*(1+'🔢 Simulador'!C9))))</f>
        <v>0</v>
      </c>
      <c r="E172" s="25">
        <f>IF(C172&lt;=0.01,0,C172*'🔢 Simulador'!$C$9)</f>
        <v>0</v>
      </c>
      <c r="F172" s="26">
        <f t="shared" si="6"/>
        <v>0</v>
      </c>
      <c r="G172" s="27">
        <f>IFERROR(SUMIFS('🔢 Simulador'!$F$8:$F$19, '🔢 Simulador'!$E$8:$E$19, B172),0)</f>
        <v>0</v>
      </c>
      <c r="H172" s="28">
        <f t="shared" si="7"/>
        <v>0</v>
      </c>
    </row>
    <row r="173" spans="2:8" x14ac:dyDescent="0.2">
      <c r="B173" s="23">
        <v>168</v>
      </c>
      <c r="C173" s="24">
        <f t="shared" si="8"/>
        <v>0</v>
      </c>
      <c r="D173" s="24">
        <f>IF(C173&lt;=0.01,0,IF('🔢 Simulador'!C13="REDUCIR PLAZO",MIN('🔢 Simulador'!C10, C173*(1+'🔢 Simulador'!C9)),MIN(IFERROR(PMT('🔢 Simulador'!C9,'🔢 Simulador'!C8-167,-C173),0), C173*(1+'🔢 Simulador'!C9))))</f>
        <v>0</v>
      </c>
      <c r="E173" s="25">
        <f>IF(C173&lt;=0.01,0,C173*'🔢 Simulador'!$C$9)</f>
        <v>0</v>
      </c>
      <c r="F173" s="26">
        <f t="shared" si="6"/>
        <v>0</v>
      </c>
      <c r="G173" s="27">
        <f>IFERROR(SUMIFS('🔢 Simulador'!$F$8:$F$19, '🔢 Simulador'!$E$8:$E$19, B173),0)</f>
        <v>0</v>
      </c>
      <c r="H173" s="28">
        <f t="shared" si="7"/>
        <v>0</v>
      </c>
    </row>
    <row r="174" spans="2:8" x14ac:dyDescent="0.2">
      <c r="B174" s="23">
        <v>169</v>
      </c>
      <c r="C174" s="24">
        <f t="shared" si="8"/>
        <v>0</v>
      </c>
      <c r="D174" s="24">
        <f>IF(C174&lt;=0.01,0,IF('🔢 Simulador'!C13="REDUCIR PLAZO",MIN('🔢 Simulador'!C10, C174*(1+'🔢 Simulador'!C9)),MIN(IFERROR(PMT('🔢 Simulador'!C9,'🔢 Simulador'!C8-168,-C174),0), C174*(1+'🔢 Simulador'!C9))))</f>
        <v>0</v>
      </c>
      <c r="E174" s="25">
        <f>IF(C174&lt;=0.01,0,C174*'🔢 Simulador'!$C$9)</f>
        <v>0</v>
      </c>
      <c r="F174" s="26">
        <f t="shared" si="6"/>
        <v>0</v>
      </c>
      <c r="G174" s="27">
        <f>IFERROR(SUMIFS('🔢 Simulador'!$F$8:$F$19, '🔢 Simulador'!$E$8:$E$19, B174),0)</f>
        <v>0</v>
      </c>
      <c r="H174" s="28">
        <f t="shared" si="7"/>
        <v>0</v>
      </c>
    </row>
    <row r="175" spans="2:8" x14ac:dyDescent="0.2">
      <c r="B175" s="23">
        <v>170</v>
      </c>
      <c r="C175" s="24">
        <f t="shared" si="8"/>
        <v>0</v>
      </c>
      <c r="D175" s="24">
        <f>IF(C175&lt;=0.01,0,IF('🔢 Simulador'!C13="REDUCIR PLAZO",MIN('🔢 Simulador'!C10, C175*(1+'🔢 Simulador'!C9)),MIN(IFERROR(PMT('🔢 Simulador'!C9,'🔢 Simulador'!C8-169,-C175),0), C175*(1+'🔢 Simulador'!C9))))</f>
        <v>0</v>
      </c>
      <c r="E175" s="25">
        <f>IF(C175&lt;=0.01,0,C175*'🔢 Simulador'!$C$9)</f>
        <v>0</v>
      </c>
      <c r="F175" s="26">
        <f t="shared" si="6"/>
        <v>0</v>
      </c>
      <c r="G175" s="27">
        <f>IFERROR(SUMIFS('🔢 Simulador'!$F$8:$F$19, '🔢 Simulador'!$E$8:$E$19, B175),0)</f>
        <v>0</v>
      </c>
      <c r="H175" s="28">
        <f t="shared" si="7"/>
        <v>0</v>
      </c>
    </row>
    <row r="176" spans="2:8" x14ac:dyDescent="0.2">
      <c r="B176" s="23">
        <v>171</v>
      </c>
      <c r="C176" s="24">
        <f t="shared" si="8"/>
        <v>0</v>
      </c>
      <c r="D176" s="24">
        <f>IF(C176&lt;=0.01,0,IF('🔢 Simulador'!C13="REDUCIR PLAZO",MIN('🔢 Simulador'!C10, C176*(1+'🔢 Simulador'!C9)),MIN(IFERROR(PMT('🔢 Simulador'!C9,'🔢 Simulador'!C8-170,-C176),0), C176*(1+'🔢 Simulador'!C9))))</f>
        <v>0</v>
      </c>
      <c r="E176" s="25">
        <f>IF(C176&lt;=0.01,0,C176*'🔢 Simulador'!$C$9)</f>
        <v>0</v>
      </c>
      <c r="F176" s="26">
        <f t="shared" si="6"/>
        <v>0</v>
      </c>
      <c r="G176" s="27">
        <f>IFERROR(SUMIFS('🔢 Simulador'!$F$8:$F$19, '🔢 Simulador'!$E$8:$E$19, B176),0)</f>
        <v>0</v>
      </c>
      <c r="H176" s="28">
        <f t="shared" si="7"/>
        <v>0</v>
      </c>
    </row>
    <row r="177" spans="2:8" x14ac:dyDescent="0.2">
      <c r="B177" s="23">
        <v>172</v>
      </c>
      <c r="C177" s="24">
        <f t="shared" si="8"/>
        <v>0</v>
      </c>
      <c r="D177" s="24">
        <f>IF(C177&lt;=0.01,0,IF('🔢 Simulador'!C13="REDUCIR PLAZO",MIN('🔢 Simulador'!C10, C177*(1+'🔢 Simulador'!C9)),MIN(IFERROR(PMT('🔢 Simulador'!C9,'🔢 Simulador'!C8-171,-C177),0), C177*(1+'🔢 Simulador'!C9))))</f>
        <v>0</v>
      </c>
      <c r="E177" s="25">
        <f>IF(C177&lt;=0.01,0,C177*'🔢 Simulador'!$C$9)</f>
        <v>0</v>
      </c>
      <c r="F177" s="26">
        <f t="shared" si="6"/>
        <v>0</v>
      </c>
      <c r="G177" s="27">
        <f>IFERROR(SUMIFS('🔢 Simulador'!$F$8:$F$19, '🔢 Simulador'!$E$8:$E$19, B177),0)</f>
        <v>0</v>
      </c>
      <c r="H177" s="28">
        <f t="shared" si="7"/>
        <v>0</v>
      </c>
    </row>
    <row r="178" spans="2:8" x14ac:dyDescent="0.2">
      <c r="B178" s="23">
        <v>173</v>
      </c>
      <c r="C178" s="24">
        <f t="shared" si="8"/>
        <v>0</v>
      </c>
      <c r="D178" s="24">
        <f>IF(C178&lt;=0.01,0,IF('🔢 Simulador'!C13="REDUCIR PLAZO",MIN('🔢 Simulador'!C10, C178*(1+'🔢 Simulador'!C9)),MIN(IFERROR(PMT('🔢 Simulador'!C9,'🔢 Simulador'!C8-172,-C178),0), C178*(1+'🔢 Simulador'!C9))))</f>
        <v>0</v>
      </c>
      <c r="E178" s="25">
        <f>IF(C178&lt;=0.01,0,C178*'🔢 Simulador'!$C$9)</f>
        <v>0</v>
      </c>
      <c r="F178" s="26">
        <f t="shared" si="6"/>
        <v>0</v>
      </c>
      <c r="G178" s="27">
        <f>IFERROR(SUMIFS('🔢 Simulador'!$F$8:$F$19, '🔢 Simulador'!$E$8:$E$19, B178),0)</f>
        <v>0</v>
      </c>
      <c r="H178" s="28">
        <f t="shared" si="7"/>
        <v>0</v>
      </c>
    </row>
    <row r="179" spans="2:8" x14ac:dyDescent="0.2">
      <c r="B179" s="23">
        <v>174</v>
      </c>
      <c r="C179" s="24">
        <f t="shared" si="8"/>
        <v>0</v>
      </c>
      <c r="D179" s="24">
        <f>IF(C179&lt;=0.01,0,IF('🔢 Simulador'!C13="REDUCIR PLAZO",MIN('🔢 Simulador'!C10, C179*(1+'🔢 Simulador'!C9)),MIN(IFERROR(PMT('🔢 Simulador'!C9,'🔢 Simulador'!C8-173,-C179),0), C179*(1+'🔢 Simulador'!C9))))</f>
        <v>0</v>
      </c>
      <c r="E179" s="25">
        <f>IF(C179&lt;=0.01,0,C179*'🔢 Simulador'!$C$9)</f>
        <v>0</v>
      </c>
      <c r="F179" s="26">
        <f t="shared" si="6"/>
        <v>0</v>
      </c>
      <c r="G179" s="27">
        <f>IFERROR(SUMIFS('🔢 Simulador'!$F$8:$F$19, '🔢 Simulador'!$E$8:$E$19, B179),0)</f>
        <v>0</v>
      </c>
      <c r="H179" s="28">
        <f t="shared" si="7"/>
        <v>0</v>
      </c>
    </row>
    <row r="180" spans="2:8" x14ac:dyDescent="0.2">
      <c r="B180" s="23">
        <v>175</v>
      </c>
      <c r="C180" s="24">
        <f t="shared" si="8"/>
        <v>0</v>
      </c>
      <c r="D180" s="24">
        <f>IF(C180&lt;=0.01,0,IF('🔢 Simulador'!C13="REDUCIR PLAZO",MIN('🔢 Simulador'!C10, C180*(1+'🔢 Simulador'!C9)),MIN(IFERROR(PMT('🔢 Simulador'!C9,'🔢 Simulador'!C8-174,-C180),0), C180*(1+'🔢 Simulador'!C9))))</f>
        <v>0</v>
      </c>
      <c r="E180" s="25">
        <f>IF(C180&lt;=0.01,0,C180*'🔢 Simulador'!$C$9)</f>
        <v>0</v>
      </c>
      <c r="F180" s="26">
        <f t="shared" si="6"/>
        <v>0</v>
      </c>
      <c r="G180" s="27">
        <f>IFERROR(SUMIFS('🔢 Simulador'!$F$8:$F$19, '🔢 Simulador'!$E$8:$E$19, B180),0)</f>
        <v>0</v>
      </c>
      <c r="H180" s="28">
        <f t="shared" si="7"/>
        <v>0</v>
      </c>
    </row>
    <row r="181" spans="2:8" x14ac:dyDescent="0.2">
      <c r="B181" s="23">
        <v>176</v>
      </c>
      <c r="C181" s="24">
        <f t="shared" si="8"/>
        <v>0</v>
      </c>
      <c r="D181" s="24">
        <f>IF(C181&lt;=0.01,0,IF('🔢 Simulador'!C13="REDUCIR PLAZO",MIN('🔢 Simulador'!C10, C181*(1+'🔢 Simulador'!C9)),MIN(IFERROR(PMT('🔢 Simulador'!C9,'🔢 Simulador'!C8-175,-C181),0), C181*(1+'🔢 Simulador'!C9))))</f>
        <v>0</v>
      </c>
      <c r="E181" s="25">
        <f>IF(C181&lt;=0.01,0,C181*'🔢 Simulador'!$C$9)</f>
        <v>0</v>
      </c>
      <c r="F181" s="26">
        <f t="shared" si="6"/>
        <v>0</v>
      </c>
      <c r="G181" s="27">
        <f>IFERROR(SUMIFS('🔢 Simulador'!$F$8:$F$19, '🔢 Simulador'!$E$8:$E$19, B181),0)</f>
        <v>0</v>
      </c>
      <c r="H181" s="28">
        <f t="shared" si="7"/>
        <v>0</v>
      </c>
    </row>
    <row r="182" spans="2:8" x14ac:dyDescent="0.2">
      <c r="B182" s="23">
        <v>177</v>
      </c>
      <c r="C182" s="24">
        <f t="shared" si="8"/>
        <v>0</v>
      </c>
      <c r="D182" s="24">
        <f>IF(C182&lt;=0.01,0,IF('🔢 Simulador'!C13="REDUCIR PLAZO",MIN('🔢 Simulador'!C10, C182*(1+'🔢 Simulador'!C9)),MIN(IFERROR(PMT('🔢 Simulador'!C9,'🔢 Simulador'!C8-176,-C182),0), C182*(1+'🔢 Simulador'!C9))))</f>
        <v>0</v>
      </c>
      <c r="E182" s="25">
        <f>IF(C182&lt;=0.01,0,C182*'🔢 Simulador'!$C$9)</f>
        <v>0</v>
      </c>
      <c r="F182" s="26">
        <f t="shared" si="6"/>
        <v>0</v>
      </c>
      <c r="G182" s="27">
        <f>IFERROR(SUMIFS('🔢 Simulador'!$F$8:$F$19, '🔢 Simulador'!$E$8:$E$19, B182),0)</f>
        <v>0</v>
      </c>
      <c r="H182" s="28">
        <f t="shared" si="7"/>
        <v>0</v>
      </c>
    </row>
    <row r="183" spans="2:8" x14ac:dyDescent="0.2">
      <c r="B183" s="23">
        <v>178</v>
      </c>
      <c r="C183" s="24">
        <f t="shared" si="8"/>
        <v>0</v>
      </c>
      <c r="D183" s="24">
        <f>IF(C183&lt;=0.01,0,IF('🔢 Simulador'!C13="REDUCIR PLAZO",MIN('🔢 Simulador'!C10, C183*(1+'🔢 Simulador'!C9)),MIN(IFERROR(PMT('🔢 Simulador'!C9,'🔢 Simulador'!C8-177,-C183),0), C183*(1+'🔢 Simulador'!C9))))</f>
        <v>0</v>
      </c>
      <c r="E183" s="25">
        <f>IF(C183&lt;=0.01,0,C183*'🔢 Simulador'!$C$9)</f>
        <v>0</v>
      </c>
      <c r="F183" s="26">
        <f t="shared" si="6"/>
        <v>0</v>
      </c>
      <c r="G183" s="27">
        <f>IFERROR(SUMIFS('🔢 Simulador'!$F$8:$F$19, '🔢 Simulador'!$E$8:$E$19, B183),0)</f>
        <v>0</v>
      </c>
      <c r="H183" s="28">
        <f t="shared" si="7"/>
        <v>0</v>
      </c>
    </row>
    <row r="184" spans="2:8" x14ac:dyDescent="0.2">
      <c r="B184" s="23">
        <v>179</v>
      </c>
      <c r="C184" s="24">
        <f t="shared" si="8"/>
        <v>0</v>
      </c>
      <c r="D184" s="24">
        <f>IF(C184&lt;=0.01,0,IF('🔢 Simulador'!C13="REDUCIR PLAZO",MIN('🔢 Simulador'!C10, C184*(1+'🔢 Simulador'!C9)),MIN(IFERROR(PMT('🔢 Simulador'!C9,'🔢 Simulador'!C8-178,-C184),0), C184*(1+'🔢 Simulador'!C9))))</f>
        <v>0</v>
      </c>
      <c r="E184" s="25">
        <f>IF(C184&lt;=0.01,0,C184*'🔢 Simulador'!$C$9)</f>
        <v>0</v>
      </c>
      <c r="F184" s="26">
        <f t="shared" si="6"/>
        <v>0</v>
      </c>
      <c r="G184" s="27">
        <f>IFERROR(SUMIFS('🔢 Simulador'!$F$8:$F$19, '🔢 Simulador'!$E$8:$E$19, B184),0)</f>
        <v>0</v>
      </c>
      <c r="H184" s="28">
        <f t="shared" si="7"/>
        <v>0</v>
      </c>
    </row>
    <row r="185" spans="2:8" x14ac:dyDescent="0.2">
      <c r="B185" s="23">
        <v>180</v>
      </c>
      <c r="C185" s="24">
        <f t="shared" si="8"/>
        <v>0</v>
      </c>
      <c r="D185" s="24">
        <f>IF(C185&lt;=0.01,0,IF('🔢 Simulador'!C13="REDUCIR PLAZO",MIN('🔢 Simulador'!C10, C185*(1+'🔢 Simulador'!C9)),MIN(IFERROR(PMT('🔢 Simulador'!C9,'🔢 Simulador'!C8-179,-C185),0), C185*(1+'🔢 Simulador'!C9))))</f>
        <v>0</v>
      </c>
      <c r="E185" s="25">
        <f>IF(C185&lt;=0.01,0,C185*'🔢 Simulador'!$C$9)</f>
        <v>0</v>
      </c>
      <c r="F185" s="26">
        <f t="shared" si="6"/>
        <v>0</v>
      </c>
      <c r="G185" s="27">
        <f>IFERROR(SUMIFS('🔢 Simulador'!$F$8:$F$19, '🔢 Simulador'!$E$8:$E$19, B185),0)</f>
        <v>0</v>
      </c>
      <c r="H185" s="28">
        <f t="shared" si="7"/>
        <v>0</v>
      </c>
    </row>
    <row r="186" spans="2:8" x14ac:dyDescent="0.2">
      <c r="B186" s="23">
        <v>181</v>
      </c>
      <c r="C186" s="24">
        <f t="shared" si="8"/>
        <v>0</v>
      </c>
      <c r="D186" s="24">
        <f>IF(C186&lt;=0.01,0,IF('🔢 Simulador'!C13="REDUCIR PLAZO",MIN('🔢 Simulador'!C10, C186*(1+'🔢 Simulador'!C9)),MIN(IFERROR(PMT('🔢 Simulador'!C9,'🔢 Simulador'!C8-180,-C186),0), C186*(1+'🔢 Simulador'!C9))))</f>
        <v>0</v>
      </c>
      <c r="E186" s="25">
        <f>IF(C186&lt;=0.01,0,C186*'🔢 Simulador'!$C$9)</f>
        <v>0</v>
      </c>
      <c r="F186" s="26">
        <f t="shared" si="6"/>
        <v>0</v>
      </c>
      <c r="G186" s="27">
        <f>IFERROR(SUMIFS('🔢 Simulador'!$F$8:$F$19, '🔢 Simulador'!$E$8:$E$19, B186),0)</f>
        <v>0</v>
      </c>
      <c r="H186" s="28">
        <f t="shared" si="7"/>
        <v>0</v>
      </c>
    </row>
    <row r="187" spans="2:8" x14ac:dyDescent="0.2">
      <c r="B187" s="23">
        <v>182</v>
      </c>
      <c r="C187" s="24">
        <f t="shared" si="8"/>
        <v>0</v>
      </c>
      <c r="D187" s="24">
        <f>IF(C187&lt;=0.01,0,IF('🔢 Simulador'!C13="REDUCIR PLAZO",MIN('🔢 Simulador'!C10, C187*(1+'🔢 Simulador'!C9)),MIN(IFERROR(PMT('🔢 Simulador'!C9,'🔢 Simulador'!C8-181,-C187),0), C187*(1+'🔢 Simulador'!C9))))</f>
        <v>0</v>
      </c>
      <c r="E187" s="25">
        <f>IF(C187&lt;=0.01,0,C187*'🔢 Simulador'!$C$9)</f>
        <v>0</v>
      </c>
      <c r="F187" s="26">
        <f t="shared" si="6"/>
        <v>0</v>
      </c>
      <c r="G187" s="27">
        <f>IFERROR(SUMIFS('🔢 Simulador'!$F$8:$F$19, '🔢 Simulador'!$E$8:$E$19, B187),0)</f>
        <v>0</v>
      </c>
      <c r="H187" s="28">
        <f t="shared" si="7"/>
        <v>0</v>
      </c>
    </row>
    <row r="188" spans="2:8" x14ac:dyDescent="0.2">
      <c r="B188" s="23">
        <v>183</v>
      </c>
      <c r="C188" s="24">
        <f t="shared" si="8"/>
        <v>0</v>
      </c>
      <c r="D188" s="24">
        <f>IF(C188&lt;=0.01,0,IF('🔢 Simulador'!C13="REDUCIR PLAZO",MIN('🔢 Simulador'!C10, C188*(1+'🔢 Simulador'!C9)),MIN(IFERROR(PMT('🔢 Simulador'!C9,'🔢 Simulador'!C8-182,-C188),0), C188*(1+'🔢 Simulador'!C9))))</f>
        <v>0</v>
      </c>
      <c r="E188" s="25">
        <f>IF(C188&lt;=0.01,0,C188*'🔢 Simulador'!$C$9)</f>
        <v>0</v>
      </c>
      <c r="F188" s="26">
        <f t="shared" si="6"/>
        <v>0</v>
      </c>
      <c r="G188" s="27">
        <f>IFERROR(SUMIFS('🔢 Simulador'!$F$8:$F$19, '🔢 Simulador'!$E$8:$E$19, B188),0)</f>
        <v>0</v>
      </c>
      <c r="H188" s="28">
        <f t="shared" si="7"/>
        <v>0</v>
      </c>
    </row>
    <row r="189" spans="2:8" x14ac:dyDescent="0.2">
      <c r="B189" s="23">
        <v>184</v>
      </c>
      <c r="C189" s="24">
        <f t="shared" si="8"/>
        <v>0</v>
      </c>
      <c r="D189" s="24">
        <f>IF(C189&lt;=0.01,0,IF('🔢 Simulador'!C13="REDUCIR PLAZO",MIN('🔢 Simulador'!C10, C189*(1+'🔢 Simulador'!C9)),MIN(IFERROR(PMT('🔢 Simulador'!C9,'🔢 Simulador'!C8-183,-C189),0), C189*(1+'🔢 Simulador'!C9))))</f>
        <v>0</v>
      </c>
      <c r="E189" s="25">
        <f>IF(C189&lt;=0.01,0,C189*'🔢 Simulador'!$C$9)</f>
        <v>0</v>
      </c>
      <c r="F189" s="26">
        <f t="shared" si="6"/>
        <v>0</v>
      </c>
      <c r="G189" s="27">
        <f>IFERROR(SUMIFS('🔢 Simulador'!$F$8:$F$19, '🔢 Simulador'!$E$8:$E$19, B189),0)</f>
        <v>0</v>
      </c>
      <c r="H189" s="28">
        <f t="shared" si="7"/>
        <v>0</v>
      </c>
    </row>
    <row r="190" spans="2:8" x14ac:dyDescent="0.2">
      <c r="B190" s="23">
        <v>185</v>
      </c>
      <c r="C190" s="24">
        <f t="shared" si="8"/>
        <v>0</v>
      </c>
      <c r="D190" s="24">
        <f>IF(C190&lt;=0.01,0,IF('🔢 Simulador'!C13="REDUCIR PLAZO",MIN('🔢 Simulador'!C10, C190*(1+'🔢 Simulador'!C9)),MIN(IFERROR(PMT('🔢 Simulador'!C9,'🔢 Simulador'!C8-184,-C190),0), C190*(1+'🔢 Simulador'!C9))))</f>
        <v>0</v>
      </c>
      <c r="E190" s="25">
        <f>IF(C190&lt;=0.01,0,C190*'🔢 Simulador'!$C$9)</f>
        <v>0</v>
      </c>
      <c r="F190" s="26">
        <f t="shared" si="6"/>
        <v>0</v>
      </c>
      <c r="G190" s="27">
        <f>IFERROR(SUMIFS('🔢 Simulador'!$F$8:$F$19, '🔢 Simulador'!$E$8:$E$19, B190),0)</f>
        <v>0</v>
      </c>
      <c r="H190" s="28">
        <f t="shared" si="7"/>
        <v>0</v>
      </c>
    </row>
    <row r="191" spans="2:8" x14ac:dyDescent="0.2">
      <c r="B191" s="23">
        <v>186</v>
      </c>
      <c r="C191" s="24">
        <f t="shared" si="8"/>
        <v>0</v>
      </c>
      <c r="D191" s="24">
        <f>IF(C191&lt;=0.01,0,IF('🔢 Simulador'!C13="REDUCIR PLAZO",MIN('🔢 Simulador'!C10, C191*(1+'🔢 Simulador'!C9)),MIN(IFERROR(PMT('🔢 Simulador'!C9,'🔢 Simulador'!C8-185,-C191),0), C191*(1+'🔢 Simulador'!C9))))</f>
        <v>0</v>
      </c>
      <c r="E191" s="25">
        <f>IF(C191&lt;=0.01,0,C191*'🔢 Simulador'!$C$9)</f>
        <v>0</v>
      </c>
      <c r="F191" s="26">
        <f t="shared" si="6"/>
        <v>0</v>
      </c>
      <c r="G191" s="27">
        <f>IFERROR(SUMIFS('🔢 Simulador'!$F$8:$F$19, '🔢 Simulador'!$E$8:$E$19, B191),0)</f>
        <v>0</v>
      </c>
      <c r="H191" s="28">
        <f t="shared" si="7"/>
        <v>0</v>
      </c>
    </row>
    <row r="192" spans="2:8" x14ac:dyDescent="0.2">
      <c r="B192" s="23">
        <v>187</v>
      </c>
      <c r="C192" s="24">
        <f t="shared" si="8"/>
        <v>0</v>
      </c>
      <c r="D192" s="24">
        <f>IF(C192&lt;=0.01,0,IF('🔢 Simulador'!C13="REDUCIR PLAZO",MIN('🔢 Simulador'!C10, C192*(1+'🔢 Simulador'!C9)),MIN(IFERROR(PMT('🔢 Simulador'!C9,'🔢 Simulador'!C8-186,-C192),0), C192*(1+'🔢 Simulador'!C9))))</f>
        <v>0</v>
      </c>
      <c r="E192" s="25">
        <f>IF(C192&lt;=0.01,0,C192*'🔢 Simulador'!$C$9)</f>
        <v>0</v>
      </c>
      <c r="F192" s="26">
        <f t="shared" si="6"/>
        <v>0</v>
      </c>
      <c r="G192" s="27">
        <f>IFERROR(SUMIFS('🔢 Simulador'!$F$8:$F$19, '🔢 Simulador'!$E$8:$E$19, B192),0)</f>
        <v>0</v>
      </c>
      <c r="H192" s="28">
        <f t="shared" si="7"/>
        <v>0</v>
      </c>
    </row>
    <row r="193" spans="2:8" x14ac:dyDescent="0.2">
      <c r="B193" s="23">
        <v>188</v>
      </c>
      <c r="C193" s="24">
        <f t="shared" si="8"/>
        <v>0</v>
      </c>
      <c r="D193" s="24">
        <f>IF(C193&lt;=0.01,0,IF('🔢 Simulador'!C13="REDUCIR PLAZO",MIN('🔢 Simulador'!C10, C193*(1+'🔢 Simulador'!C9)),MIN(IFERROR(PMT('🔢 Simulador'!C9,'🔢 Simulador'!C8-187,-C193),0), C193*(1+'🔢 Simulador'!C9))))</f>
        <v>0</v>
      </c>
      <c r="E193" s="25">
        <f>IF(C193&lt;=0.01,0,C193*'🔢 Simulador'!$C$9)</f>
        <v>0</v>
      </c>
      <c r="F193" s="26">
        <f t="shared" si="6"/>
        <v>0</v>
      </c>
      <c r="G193" s="27">
        <f>IFERROR(SUMIFS('🔢 Simulador'!$F$8:$F$19, '🔢 Simulador'!$E$8:$E$19, B193),0)</f>
        <v>0</v>
      </c>
      <c r="H193" s="28">
        <f t="shared" si="7"/>
        <v>0</v>
      </c>
    </row>
    <row r="194" spans="2:8" x14ac:dyDescent="0.2">
      <c r="B194" s="23">
        <v>189</v>
      </c>
      <c r="C194" s="24">
        <f t="shared" si="8"/>
        <v>0</v>
      </c>
      <c r="D194" s="24">
        <f>IF(C194&lt;=0.01,0,IF('🔢 Simulador'!C13="REDUCIR PLAZO",MIN('🔢 Simulador'!C10, C194*(1+'🔢 Simulador'!C9)),MIN(IFERROR(PMT('🔢 Simulador'!C9,'🔢 Simulador'!C8-188,-C194),0), C194*(1+'🔢 Simulador'!C9))))</f>
        <v>0</v>
      </c>
      <c r="E194" s="25">
        <f>IF(C194&lt;=0.01,0,C194*'🔢 Simulador'!$C$9)</f>
        <v>0</v>
      </c>
      <c r="F194" s="26">
        <f t="shared" si="6"/>
        <v>0</v>
      </c>
      <c r="G194" s="27">
        <f>IFERROR(SUMIFS('🔢 Simulador'!$F$8:$F$19, '🔢 Simulador'!$E$8:$E$19, B194),0)</f>
        <v>0</v>
      </c>
      <c r="H194" s="28">
        <f t="shared" si="7"/>
        <v>0</v>
      </c>
    </row>
    <row r="195" spans="2:8" x14ac:dyDescent="0.2">
      <c r="B195" s="23">
        <v>190</v>
      </c>
      <c r="C195" s="24">
        <f t="shared" si="8"/>
        <v>0</v>
      </c>
      <c r="D195" s="24">
        <f>IF(C195&lt;=0.01,0,IF('🔢 Simulador'!C13="REDUCIR PLAZO",MIN('🔢 Simulador'!C10, C195*(1+'🔢 Simulador'!C9)),MIN(IFERROR(PMT('🔢 Simulador'!C9,'🔢 Simulador'!C8-189,-C195),0), C195*(1+'🔢 Simulador'!C9))))</f>
        <v>0</v>
      </c>
      <c r="E195" s="25">
        <f>IF(C195&lt;=0.01,0,C195*'🔢 Simulador'!$C$9)</f>
        <v>0</v>
      </c>
      <c r="F195" s="26">
        <f t="shared" si="6"/>
        <v>0</v>
      </c>
      <c r="G195" s="27">
        <f>IFERROR(SUMIFS('🔢 Simulador'!$F$8:$F$19, '🔢 Simulador'!$E$8:$E$19, B195),0)</f>
        <v>0</v>
      </c>
      <c r="H195" s="28">
        <f t="shared" si="7"/>
        <v>0</v>
      </c>
    </row>
    <row r="196" spans="2:8" x14ac:dyDescent="0.2">
      <c r="B196" s="23">
        <v>191</v>
      </c>
      <c r="C196" s="24">
        <f t="shared" si="8"/>
        <v>0</v>
      </c>
      <c r="D196" s="24">
        <f>IF(C196&lt;=0.01,0,IF('🔢 Simulador'!C13="REDUCIR PLAZO",MIN('🔢 Simulador'!C10, C196*(1+'🔢 Simulador'!C9)),MIN(IFERROR(PMT('🔢 Simulador'!C9,'🔢 Simulador'!C8-190,-C196),0), C196*(1+'🔢 Simulador'!C9))))</f>
        <v>0</v>
      </c>
      <c r="E196" s="25">
        <f>IF(C196&lt;=0.01,0,C196*'🔢 Simulador'!$C$9)</f>
        <v>0</v>
      </c>
      <c r="F196" s="26">
        <f t="shared" si="6"/>
        <v>0</v>
      </c>
      <c r="G196" s="27">
        <f>IFERROR(SUMIFS('🔢 Simulador'!$F$8:$F$19, '🔢 Simulador'!$E$8:$E$19, B196),0)</f>
        <v>0</v>
      </c>
      <c r="H196" s="28">
        <f t="shared" si="7"/>
        <v>0</v>
      </c>
    </row>
    <row r="197" spans="2:8" x14ac:dyDescent="0.2">
      <c r="B197" s="23">
        <v>192</v>
      </c>
      <c r="C197" s="24">
        <f t="shared" si="8"/>
        <v>0</v>
      </c>
      <c r="D197" s="24">
        <f>IF(C197&lt;=0.01,0,IF('🔢 Simulador'!C13="REDUCIR PLAZO",MIN('🔢 Simulador'!C10, C197*(1+'🔢 Simulador'!C9)),MIN(IFERROR(PMT('🔢 Simulador'!C9,'🔢 Simulador'!C8-191,-C197),0), C197*(1+'🔢 Simulador'!C9))))</f>
        <v>0</v>
      </c>
      <c r="E197" s="25">
        <f>IF(C197&lt;=0.01,0,C197*'🔢 Simulador'!$C$9)</f>
        <v>0</v>
      </c>
      <c r="F197" s="26">
        <f t="shared" si="6"/>
        <v>0</v>
      </c>
      <c r="G197" s="27">
        <f>IFERROR(SUMIFS('🔢 Simulador'!$F$8:$F$19, '🔢 Simulador'!$E$8:$E$19, B197),0)</f>
        <v>0</v>
      </c>
      <c r="H197" s="28">
        <f t="shared" si="7"/>
        <v>0</v>
      </c>
    </row>
    <row r="198" spans="2:8" x14ac:dyDescent="0.2">
      <c r="B198" s="23">
        <v>193</v>
      </c>
      <c r="C198" s="24">
        <f t="shared" si="8"/>
        <v>0</v>
      </c>
      <c r="D198" s="24">
        <f>IF(C198&lt;=0.01,0,IF('🔢 Simulador'!C13="REDUCIR PLAZO",MIN('🔢 Simulador'!C10, C198*(1+'🔢 Simulador'!C9)),MIN(IFERROR(PMT('🔢 Simulador'!C9,'🔢 Simulador'!C8-192,-C198),0), C198*(1+'🔢 Simulador'!C9))))</f>
        <v>0</v>
      </c>
      <c r="E198" s="25">
        <f>IF(C198&lt;=0.01,0,C198*'🔢 Simulador'!$C$9)</f>
        <v>0</v>
      </c>
      <c r="F198" s="26">
        <f t="shared" ref="F198:F261" si="9">MAX(0, D198-E198)</f>
        <v>0</v>
      </c>
      <c r="G198" s="27">
        <f>IFERROR(SUMIFS('🔢 Simulador'!$F$8:$F$19, '🔢 Simulador'!$E$8:$E$19, B198),0)</f>
        <v>0</v>
      </c>
      <c r="H198" s="28">
        <f t="shared" ref="H198:H261" si="10">MAX(0, C198-F198-G198)</f>
        <v>0</v>
      </c>
    </row>
    <row r="199" spans="2:8" x14ac:dyDescent="0.2">
      <c r="B199" s="23">
        <v>194</v>
      </c>
      <c r="C199" s="24">
        <f t="shared" ref="C199:C262" si="11">IF(H198&lt;=0.01,0,H198)</f>
        <v>0</v>
      </c>
      <c r="D199" s="24">
        <f>IF(C199&lt;=0.01,0,IF('🔢 Simulador'!C13="REDUCIR PLAZO",MIN('🔢 Simulador'!C10, C199*(1+'🔢 Simulador'!C9)),MIN(IFERROR(PMT('🔢 Simulador'!C9,'🔢 Simulador'!C8-193,-C199),0), C199*(1+'🔢 Simulador'!C9))))</f>
        <v>0</v>
      </c>
      <c r="E199" s="25">
        <f>IF(C199&lt;=0.01,0,C199*'🔢 Simulador'!$C$9)</f>
        <v>0</v>
      </c>
      <c r="F199" s="26">
        <f t="shared" si="9"/>
        <v>0</v>
      </c>
      <c r="G199" s="27">
        <f>IFERROR(SUMIFS('🔢 Simulador'!$F$8:$F$19, '🔢 Simulador'!$E$8:$E$19, B199),0)</f>
        <v>0</v>
      </c>
      <c r="H199" s="28">
        <f t="shared" si="10"/>
        <v>0</v>
      </c>
    </row>
    <row r="200" spans="2:8" x14ac:dyDescent="0.2">
      <c r="B200" s="23">
        <v>195</v>
      </c>
      <c r="C200" s="24">
        <f t="shared" si="11"/>
        <v>0</v>
      </c>
      <c r="D200" s="24">
        <f>IF(C200&lt;=0.01,0,IF('🔢 Simulador'!C13="REDUCIR PLAZO",MIN('🔢 Simulador'!C10, C200*(1+'🔢 Simulador'!C9)),MIN(IFERROR(PMT('🔢 Simulador'!C9,'🔢 Simulador'!C8-194,-C200),0), C200*(1+'🔢 Simulador'!C9))))</f>
        <v>0</v>
      </c>
      <c r="E200" s="25">
        <f>IF(C200&lt;=0.01,0,C200*'🔢 Simulador'!$C$9)</f>
        <v>0</v>
      </c>
      <c r="F200" s="26">
        <f t="shared" si="9"/>
        <v>0</v>
      </c>
      <c r="G200" s="27">
        <f>IFERROR(SUMIFS('🔢 Simulador'!$F$8:$F$19, '🔢 Simulador'!$E$8:$E$19, B200),0)</f>
        <v>0</v>
      </c>
      <c r="H200" s="28">
        <f t="shared" si="10"/>
        <v>0</v>
      </c>
    </row>
    <row r="201" spans="2:8" x14ac:dyDescent="0.2">
      <c r="B201" s="23">
        <v>196</v>
      </c>
      <c r="C201" s="24">
        <f t="shared" si="11"/>
        <v>0</v>
      </c>
      <c r="D201" s="24">
        <f>IF(C201&lt;=0.01,0,IF('🔢 Simulador'!C13="REDUCIR PLAZO",MIN('🔢 Simulador'!C10, C201*(1+'🔢 Simulador'!C9)),MIN(IFERROR(PMT('🔢 Simulador'!C9,'🔢 Simulador'!C8-195,-C201),0), C201*(1+'🔢 Simulador'!C9))))</f>
        <v>0</v>
      </c>
      <c r="E201" s="25">
        <f>IF(C201&lt;=0.01,0,C201*'🔢 Simulador'!$C$9)</f>
        <v>0</v>
      </c>
      <c r="F201" s="26">
        <f t="shared" si="9"/>
        <v>0</v>
      </c>
      <c r="G201" s="27">
        <f>IFERROR(SUMIFS('🔢 Simulador'!$F$8:$F$19, '🔢 Simulador'!$E$8:$E$19, B201),0)</f>
        <v>0</v>
      </c>
      <c r="H201" s="28">
        <f t="shared" si="10"/>
        <v>0</v>
      </c>
    </row>
    <row r="202" spans="2:8" x14ac:dyDescent="0.2">
      <c r="B202" s="23">
        <v>197</v>
      </c>
      <c r="C202" s="24">
        <f t="shared" si="11"/>
        <v>0</v>
      </c>
      <c r="D202" s="24">
        <f>IF(C202&lt;=0.01,0,IF('🔢 Simulador'!C13="REDUCIR PLAZO",MIN('🔢 Simulador'!C10, C202*(1+'🔢 Simulador'!C9)),MIN(IFERROR(PMT('🔢 Simulador'!C9,'🔢 Simulador'!C8-196,-C202),0), C202*(1+'🔢 Simulador'!C9))))</f>
        <v>0</v>
      </c>
      <c r="E202" s="25">
        <f>IF(C202&lt;=0.01,0,C202*'🔢 Simulador'!$C$9)</f>
        <v>0</v>
      </c>
      <c r="F202" s="26">
        <f t="shared" si="9"/>
        <v>0</v>
      </c>
      <c r="G202" s="27">
        <f>IFERROR(SUMIFS('🔢 Simulador'!$F$8:$F$19, '🔢 Simulador'!$E$8:$E$19, B202),0)</f>
        <v>0</v>
      </c>
      <c r="H202" s="28">
        <f t="shared" si="10"/>
        <v>0</v>
      </c>
    </row>
    <row r="203" spans="2:8" x14ac:dyDescent="0.2">
      <c r="B203" s="23">
        <v>198</v>
      </c>
      <c r="C203" s="24">
        <f t="shared" si="11"/>
        <v>0</v>
      </c>
      <c r="D203" s="24">
        <f>IF(C203&lt;=0.01,0,IF('🔢 Simulador'!C13="REDUCIR PLAZO",MIN('🔢 Simulador'!C10, C203*(1+'🔢 Simulador'!C9)),MIN(IFERROR(PMT('🔢 Simulador'!C9,'🔢 Simulador'!C8-197,-C203),0), C203*(1+'🔢 Simulador'!C9))))</f>
        <v>0</v>
      </c>
      <c r="E203" s="25">
        <f>IF(C203&lt;=0.01,0,C203*'🔢 Simulador'!$C$9)</f>
        <v>0</v>
      </c>
      <c r="F203" s="26">
        <f t="shared" si="9"/>
        <v>0</v>
      </c>
      <c r="G203" s="27">
        <f>IFERROR(SUMIFS('🔢 Simulador'!$F$8:$F$19, '🔢 Simulador'!$E$8:$E$19, B203),0)</f>
        <v>0</v>
      </c>
      <c r="H203" s="28">
        <f t="shared" si="10"/>
        <v>0</v>
      </c>
    </row>
    <row r="204" spans="2:8" x14ac:dyDescent="0.2">
      <c r="B204" s="23">
        <v>199</v>
      </c>
      <c r="C204" s="24">
        <f t="shared" si="11"/>
        <v>0</v>
      </c>
      <c r="D204" s="24">
        <f>IF(C204&lt;=0.01,0,IF('🔢 Simulador'!C13="REDUCIR PLAZO",MIN('🔢 Simulador'!C10, C204*(1+'🔢 Simulador'!C9)),MIN(IFERROR(PMT('🔢 Simulador'!C9,'🔢 Simulador'!C8-198,-C204),0), C204*(1+'🔢 Simulador'!C9))))</f>
        <v>0</v>
      </c>
      <c r="E204" s="25">
        <f>IF(C204&lt;=0.01,0,C204*'🔢 Simulador'!$C$9)</f>
        <v>0</v>
      </c>
      <c r="F204" s="26">
        <f t="shared" si="9"/>
        <v>0</v>
      </c>
      <c r="G204" s="27">
        <f>IFERROR(SUMIFS('🔢 Simulador'!$F$8:$F$19, '🔢 Simulador'!$E$8:$E$19, B204),0)</f>
        <v>0</v>
      </c>
      <c r="H204" s="28">
        <f t="shared" si="10"/>
        <v>0</v>
      </c>
    </row>
    <row r="205" spans="2:8" x14ac:dyDescent="0.2">
      <c r="B205" s="23">
        <v>200</v>
      </c>
      <c r="C205" s="24">
        <f t="shared" si="11"/>
        <v>0</v>
      </c>
      <c r="D205" s="24">
        <f>IF(C205&lt;=0.01,0,IF('🔢 Simulador'!C13="REDUCIR PLAZO",MIN('🔢 Simulador'!C10, C205*(1+'🔢 Simulador'!C9)),MIN(IFERROR(PMT('🔢 Simulador'!C9,'🔢 Simulador'!C8-199,-C205),0), C205*(1+'🔢 Simulador'!C9))))</f>
        <v>0</v>
      </c>
      <c r="E205" s="25">
        <f>IF(C205&lt;=0.01,0,C205*'🔢 Simulador'!$C$9)</f>
        <v>0</v>
      </c>
      <c r="F205" s="26">
        <f t="shared" si="9"/>
        <v>0</v>
      </c>
      <c r="G205" s="27">
        <f>IFERROR(SUMIFS('🔢 Simulador'!$F$8:$F$19, '🔢 Simulador'!$E$8:$E$19, B205),0)</f>
        <v>0</v>
      </c>
      <c r="H205" s="28">
        <f t="shared" si="10"/>
        <v>0</v>
      </c>
    </row>
    <row r="206" spans="2:8" x14ac:dyDescent="0.2">
      <c r="B206" s="23">
        <v>201</v>
      </c>
      <c r="C206" s="24">
        <f t="shared" si="11"/>
        <v>0</v>
      </c>
      <c r="D206" s="24">
        <f>IF(C206&lt;=0.01,0,IF('🔢 Simulador'!C13="REDUCIR PLAZO",MIN('🔢 Simulador'!C10, C206*(1+'🔢 Simulador'!C9)),MIN(IFERROR(PMT('🔢 Simulador'!C9,'🔢 Simulador'!C8-200,-C206),0), C206*(1+'🔢 Simulador'!C9))))</f>
        <v>0</v>
      </c>
      <c r="E206" s="25">
        <f>IF(C206&lt;=0.01,0,C206*'🔢 Simulador'!$C$9)</f>
        <v>0</v>
      </c>
      <c r="F206" s="26">
        <f t="shared" si="9"/>
        <v>0</v>
      </c>
      <c r="G206" s="27">
        <f>IFERROR(SUMIFS('🔢 Simulador'!$F$8:$F$19, '🔢 Simulador'!$E$8:$E$19, B206),0)</f>
        <v>0</v>
      </c>
      <c r="H206" s="28">
        <f t="shared" si="10"/>
        <v>0</v>
      </c>
    </row>
    <row r="207" spans="2:8" x14ac:dyDescent="0.2">
      <c r="B207" s="23">
        <v>202</v>
      </c>
      <c r="C207" s="24">
        <f t="shared" si="11"/>
        <v>0</v>
      </c>
      <c r="D207" s="24">
        <f>IF(C207&lt;=0.01,0,IF('🔢 Simulador'!C13="REDUCIR PLAZO",MIN('🔢 Simulador'!C10, C207*(1+'🔢 Simulador'!C9)),MIN(IFERROR(PMT('🔢 Simulador'!C9,'🔢 Simulador'!C8-201,-C207),0), C207*(1+'🔢 Simulador'!C9))))</f>
        <v>0</v>
      </c>
      <c r="E207" s="25">
        <f>IF(C207&lt;=0.01,0,C207*'🔢 Simulador'!$C$9)</f>
        <v>0</v>
      </c>
      <c r="F207" s="26">
        <f t="shared" si="9"/>
        <v>0</v>
      </c>
      <c r="G207" s="27">
        <f>IFERROR(SUMIFS('🔢 Simulador'!$F$8:$F$19, '🔢 Simulador'!$E$8:$E$19, B207),0)</f>
        <v>0</v>
      </c>
      <c r="H207" s="28">
        <f t="shared" si="10"/>
        <v>0</v>
      </c>
    </row>
    <row r="208" spans="2:8" x14ac:dyDescent="0.2">
      <c r="B208" s="23">
        <v>203</v>
      </c>
      <c r="C208" s="24">
        <f t="shared" si="11"/>
        <v>0</v>
      </c>
      <c r="D208" s="24">
        <f>IF(C208&lt;=0.01,0,IF('🔢 Simulador'!C13="REDUCIR PLAZO",MIN('🔢 Simulador'!C10, C208*(1+'🔢 Simulador'!C9)),MIN(IFERROR(PMT('🔢 Simulador'!C9,'🔢 Simulador'!C8-202,-C208),0), C208*(1+'🔢 Simulador'!C9))))</f>
        <v>0</v>
      </c>
      <c r="E208" s="25">
        <f>IF(C208&lt;=0.01,0,C208*'🔢 Simulador'!$C$9)</f>
        <v>0</v>
      </c>
      <c r="F208" s="26">
        <f t="shared" si="9"/>
        <v>0</v>
      </c>
      <c r="G208" s="27">
        <f>IFERROR(SUMIFS('🔢 Simulador'!$F$8:$F$19, '🔢 Simulador'!$E$8:$E$19, B208),0)</f>
        <v>0</v>
      </c>
      <c r="H208" s="28">
        <f t="shared" si="10"/>
        <v>0</v>
      </c>
    </row>
    <row r="209" spans="2:8" x14ac:dyDescent="0.2">
      <c r="B209" s="23">
        <v>204</v>
      </c>
      <c r="C209" s="24">
        <f t="shared" si="11"/>
        <v>0</v>
      </c>
      <c r="D209" s="24">
        <f>IF(C209&lt;=0.01,0,IF('🔢 Simulador'!C13="REDUCIR PLAZO",MIN('🔢 Simulador'!C10, C209*(1+'🔢 Simulador'!C9)),MIN(IFERROR(PMT('🔢 Simulador'!C9,'🔢 Simulador'!C8-203,-C209),0), C209*(1+'🔢 Simulador'!C9))))</f>
        <v>0</v>
      </c>
      <c r="E209" s="25">
        <f>IF(C209&lt;=0.01,0,C209*'🔢 Simulador'!$C$9)</f>
        <v>0</v>
      </c>
      <c r="F209" s="26">
        <f t="shared" si="9"/>
        <v>0</v>
      </c>
      <c r="G209" s="27">
        <f>IFERROR(SUMIFS('🔢 Simulador'!$F$8:$F$19, '🔢 Simulador'!$E$8:$E$19, B209),0)</f>
        <v>0</v>
      </c>
      <c r="H209" s="28">
        <f t="shared" si="10"/>
        <v>0</v>
      </c>
    </row>
    <row r="210" spans="2:8" x14ac:dyDescent="0.2">
      <c r="B210" s="23">
        <v>205</v>
      </c>
      <c r="C210" s="24">
        <f t="shared" si="11"/>
        <v>0</v>
      </c>
      <c r="D210" s="24">
        <f>IF(C210&lt;=0.01,0,IF('🔢 Simulador'!C13="REDUCIR PLAZO",MIN('🔢 Simulador'!C10, C210*(1+'🔢 Simulador'!C9)),MIN(IFERROR(PMT('🔢 Simulador'!C9,'🔢 Simulador'!C8-204,-C210),0), C210*(1+'🔢 Simulador'!C9))))</f>
        <v>0</v>
      </c>
      <c r="E210" s="25">
        <f>IF(C210&lt;=0.01,0,C210*'🔢 Simulador'!$C$9)</f>
        <v>0</v>
      </c>
      <c r="F210" s="26">
        <f t="shared" si="9"/>
        <v>0</v>
      </c>
      <c r="G210" s="27">
        <f>IFERROR(SUMIFS('🔢 Simulador'!$F$8:$F$19, '🔢 Simulador'!$E$8:$E$19, B210),0)</f>
        <v>0</v>
      </c>
      <c r="H210" s="28">
        <f t="shared" si="10"/>
        <v>0</v>
      </c>
    </row>
    <row r="211" spans="2:8" x14ac:dyDescent="0.2">
      <c r="B211" s="23">
        <v>206</v>
      </c>
      <c r="C211" s="24">
        <f t="shared" si="11"/>
        <v>0</v>
      </c>
      <c r="D211" s="24">
        <f>IF(C211&lt;=0.01,0,IF('🔢 Simulador'!C13="REDUCIR PLAZO",MIN('🔢 Simulador'!C10, C211*(1+'🔢 Simulador'!C9)),MIN(IFERROR(PMT('🔢 Simulador'!C9,'🔢 Simulador'!C8-205,-C211),0), C211*(1+'🔢 Simulador'!C9))))</f>
        <v>0</v>
      </c>
      <c r="E211" s="25">
        <f>IF(C211&lt;=0.01,0,C211*'🔢 Simulador'!$C$9)</f>
        <v>0</v>
      </c>
      <c r="F211" s="26">
        <f t="shared" si="9"/>
        <v>0</v>
      </c>
      <c r="G211" s="27">
        <f>IFERROR(SUMIFS('🔢 Simulador'!$F$8:$F$19, '🔢 Simulador'!$E$8:$E$19, B211),0)</f>
        <v>0</v>
      </c>
      <c r="H211" s="28">
        <f t="shared" si="10"/>
        <v>0</v>
      </c>
    </row>
    <row r="212" spans="2:8" x14ac:dyDescent="0.2">
      <c r="B212" s="23">
        <v>207</v>
      </c>
      <c r="C212" s="24">
        <f t="shared" si="11"/>
        <v>0</v>
      </c>
      <c r="D212" s="24">
        <f>IF(C212&lt;=0.01,0,IF('🔢 Simulador'!C13="REDUCIR PLAZO",MIN('🔢 Simulador'!C10, C212*(1+'🔢 Simulador'!C9)),MIN(IFERROR(PMT('🔢 Simulador'!C9,'🔢 Simulador'!C8-206,-C212),0), C212*(1+'🔢 Simulador'!C9))))</f>
        <v>0</v>
      </c>
      <c r="E212" s="25">
        <f>IF(C212&lt;=0.01,0,C212*'🔢 Simulador'!$C$9)</f>
        <v>0</v>
      </c>
      <c r="F212" s="26">
        <f t="shared" si="9"/>
        <v>0</v>
      </c>
      <c r="G212" s="27">
        <f>IFERROR(SUMIFS('🔢 Simulador'!$F$8:$F$19, '🔢 Simulador'!$E$8:$E$19, B212),0)</f>
        <v>0</v>
      </c>
      <c r="H212" s="28">
        <f t="shared" si="10"/>
        <v>0</v>
      </c>
    </row>
    <row r="213" spans="2:8" x14ac:dyDescent="0.2">
      <c r="B213" s="23">
        <v>208</v>
      </c>
      <c r="C213" s="24">
        <f t="shared" si="11"/>
        <v>0</v>
      </c>
      <c r="D213" s="24">
        <f>IF(C213&lt;=0.01,0,IF('🔢 Simulador'!C13="REDUCIR PLAZO",MIN('🔢 Simulador'!C10, C213*(1+'🔢 Simulador'!C9)),MIN(IFERROR(PMT('🔢 Simulador'!C9,'🔢 Simulador'!C8-207,-C213),0), C213*(1+'🔢 Simulador'!C9))))</f>
        <v>0</v>
      </c>
      <c r="E213" s="25">
        <f>IF(C213&lt;=0.01,0,C213*'🔢 Simulador'!$C$9)</f>
        <v>0</v>
      </c>
      <c r="F213" s="26">
        <f t="shared" si="9"/>
        <v>0</v>
      </c>
      <c r="G213" s="27">
        <f>IFERROR(SUMIFS('🔢 Simulador'!$F$8:$F$19, '🔢 Simulador'!$E$8:$E$19, B213),0)</f>
        <v>0</v>
      </c>
      <c r="H213" s="28">
        <f t="shared" si="10"/>
        <v>0</v>
      </c>
    </row>
    <row r="214" spans="2:8" x14ac:dyDescent="0.2">
      <c r="B214" s="23">
        <v>209</v>
      </c>
      <c r="C214" s="24">
        <f t="shared" si="11"/>
        <v>0</v>
      </c>
      <c r="D214" s="24">
        <f>IF(C214&lt;=0.01,0,IF('🔢 Simulador'!C13="REDUCIR PLAZO",MIN('🔢 Simulador'!C10, C214*(1+'🔢 Simulador'!C9)),MIN(IFERROR(PMT('🔢 Simulador'!C9,'🔢 Simulador'!C8-208,-C214),0), C214*(1+'🔢 Simulador'!C9))))</f>
        <v>0</v>
      </c>
      <c r="E214" s="25">
        <f>IF(C214&lt;=0.01,0,C214*'🔢 Simulador'!$C$9)</f>
        <v>0</v>
      </c>
      <c r="F214" s="26">
        <f t="shared" si="9"/>
        <v>0</v>
      </c>
      <c r="G214" s="27">
        <f>IFERROR(SUMIFS('🔢 Simulador'!$F$8:$F$19, '🔢 Simulador'!$E$8:$E$19, B214),0)</f>
        <v>0</v>
      </c>
      <c r="H214" s="28">
        <f t="shared" si="10"/>
        <v>0</v>
      </c>
    </row>
    <row r="215" spans="2:8" x14ac:dyDescent="0.2">
      <c r="B215" s="23">
        <v>210</v>
      </c>
      <c r="C215" s="24">
        <f t="shared" si="11"/>
        <v>0</v>
      </c>
      <c r="D215" s="24">
        <f>IF(C215&lt;=0.01,0,IF('🔢 Simulador'!C13="REDUCIR PLAZO",MIN('🔢 Simulador'!C10, C215*(1+'🔢 Simulador'!C9)),MIN(IFERROR(PMT('🔢 Simulador'!C9,'🔢 Simulador'!C8-209,-C215),0), C215*(1+'🔢 Simulador'!C9))))</f>
        <v>0</v>
      </c>
      <c r="E215" s="25">
        <f>IF(C215&lt;=0.01,0,C215*'🔢 Simulador'!$C$9)</f>
        <v>0</v>
      </c>
      <c r="F215" s="26">
        <f t="shared" si="9"/>
        <v>0</v>
      </c>
      <c r="G215" s="27">
        <f>IFERROR(SUMIFS('🔢 Simulador'!$F$8:$F$19, '🔢 Simulador'!$E$8:$E$19, B215),0)</f>
        <v>0</v>
      </c>
      <c r="H215" s="28">
        <f t="shared" si="10"/>
        <v>0</v>
      </c>
    </row>
    <row r="216" spans="2:8" x14ac:dyDescent="0.2">
      <c r="B216" s="23">
        <v>211</v>
      </c>
      <c r="C216" s="24">
        <f t="shared" si="11"/>
        <v>0</v>
      </c>
      <c r="D216" s="24">
        <f>IF(C216&lt;=0.01,0,IF('🔢 Simulador'!C13="REDUCIR PLAZO",MIN('🔢 Simulador'!C10, C216*(1+'🔢 Simulador'!C9)),MIN(IFERROR(PMT('🔢 Simulador'!C9,'🔢 Simulador'!C8-210,-C216),0), C216*(1+'🔢 Simulador'!C9))))</f>
        <v>0</v>
      </c>
      <c r="E216" s="25">
        <f>IF(C216&lt;=0.01,0,C216*'🔢 Simulador'!$C$9)</f>
        <v>0</v>
      </c>
      <c r="F216" s="26">
        <f t="shared" si="9"/>
        <v>0</v>
      </c>
      <c r="G216" s="27">
        <f>IFERROR(SUMIFS('🔢 Simulador'!$F$8:$F$19, '🔢 Simulador'!$E$8:$E$19, B216),0)</f>
        <v>0</v>
      </c>
      <c r="H216" s="28">
        <f t="shared" si="10"/>
        <v>0</v>
      </c>
    </row>
    <row r="217" spans="2:8" x14ac:dyDescent="0.2">
      <c r="B217" s="23">
        <v>212</v>
      </c>
      <c r="C217" s="24">
        <f t="shared" si="11"/>
        <v>0</v>
      </c>
      <c r="D217" s="24">
        <f>IF(C217&lt;=0.01,0,IF('🔢 Simulador'!C13="REDUCIR PLAZO",MIN('🔢 Simulador'!C10, C217*(1+'🔢 Simulador'!C9)),MIN(IFERROR(PMT('🔢 Simulador'!C9,'🔢 Simulador'!C8-211,-C217),0), C217*(1+'🔢 Simulador'!C9))))</f>
        <v>0</v>
      </c>
      <c r="E217" s="25">
        <f>IF(C217&lt;=0.01,0,C217*'🔢 Simulador'!$C$9)</f>
        <v>0</v>
      </c>
      <c r="F217" s="26">
        <f t="shared" si="9"/>
        <v>0</v>
      </c>
      <c r="G217" s="27">
        <f>IFERROR(SUMIFS('🔢 Simulador'!$F$8:$F$19, '🔢 Simulador'!$E$8:$E$19, B217),0)</f>
        <v>0</v>
      </c>
      <c r="H217" s="28">
        <f t="shared" si="10"/>
        <v>0</v>
      </c>
    </row>
    <row r="218" spans="2:8" x14ac:dyDescent="0.2">
      <c r="B218" s="23">
        <v>213</v>
      </c>
      <c r="C218" s="24">
        <f t="shared" si="11"/>
        <v>0</v>
      </c>
      <c r="D218" s="24">
        <f>IF(C218&lt;=0.01,0,IF('🔢 Simulador'!C13="REDUCIR PLAZO",MIN('🔢 Simulador'!C10, C218*(1+'🔢 Simulador'!C9)),MIN(IFERROR(PMT('🔢 Simulador'!C9,'🔢 Simulador'!C8-212,-C218),0), C218*(1+'🔢 Simulador'!C9))))</f>
        <v>0</v>
      </c>
      <c r="E218" s="25">
        <f>IF(C218&lt;=0.01,0,C218*'🔢 Simulador'!$C$9)</f>
        <v>0</v>
      </c>
      <c r="F218" s="26">
        <f t="shared" si="9"/>
        <v>0</v>
      </c>
      <c r="G218" s="27">
        <f>IFERROR(SUMIFS('🔢 Simulador'!$F$8:$F$19, '🔢 Simulador'!$E$8:$E$19, B218),0)</f>
        <v>0</v>
      </c>
      <c r="H218" s="28">
        <f t="shared" si="10"/>
        <v>0</v>
      </c>
    </row>
    <row r="219" spans="2:8" x14ac:dyDescent="0.2">
      <c r="B219" s="23">
        <v>214</v>
      </c>
      <c r="C219" s="24">
        <f t="shared" si="11"/>
        <v>0</v>
      </c>
      <c r="D219" s="24">
        <f>IF(C219&lt;=0.01,0,IF('🔢 Simulador'!C13="REDUCIR PLAZO",MIN('🔢 Simulador'!C10, C219*(1+'🔢 Simulador'!C9)),MIN(IFERROR(PMT('🔢 Simulador'!C9,'🔢 Simulador'!C8-213,-C219),0), C219*(1+'🔢 Simulador'!C9))))</f>
        <v>0</v>
      </c>
      <c r="E219" s="25">
        <f>IF(C219&lt;=0.01,0,C219*'🔢 Simulador'!$C$9)</f>
        <v>0</v>
      </c>
      <c r="F219" s="26">
        <f t="shared" si="9"/>
        <v>0</v>
      </c>
      <c r="G219" s="27">
        <f>IFERROR(SUMIFS('🔢 Simulador'!$F$8:$F$19, '🔢 Simulador'!$E$8:$E$19, B219),0)</f>
        <v>0</v>
      </c>
      <c r="H219" s="28">
        <f t="shared" si="10"/>
        <v>0</v>
      </c>
    </row>
    <row r="220" spans="2:8" x14ac:dyDescent="0.2">
      <c r="B220" s="23">
        <v>215</v>
      </c>
      <c r="C220" s="24">
        <f t="shared" si="11"/>
        <v>0</v>
      </c>
      <c r="D220" s="24">
        <f>IF(C220&lt;=0.01,0,IF('🔢 Simulador'!C13="REDUCIR PLAZO",MIN('🔢 Simulador'!C10, C220*(1+'🔢 Simulador'!C9)),MIN(IFERROR(PMT('🔢 Simulador'!C9,'🔢 Simulador'!C8-214,-C220),0), C220*(1+'🔢 Simulador'!C9))))</f>
        <v>0</v>
      </c>
      <c r="E220" s="25">
        <f>IF(C220&lt;=0.01,0,C220*'🔢 Simulador'!$C$9)</f>
        <v>0</v>
      </c>
      <c r="F220" s="26">
        <f t="shared" si="9"/>
        <v>0</v>
      </c>
      <c r="G220" s="27">
        <f>IFERROR(SUMIFS('🔢 Simulador'!$F$8:$F$19, '🔢 Simulador'!$E$8:$E$19, B220),0)</f>
        <v>0</v>
      </c>
      <c r="H220" s="28">
        <f t="shared" si="10"/>
        <v>0</v>
      </c>
    </row>
    <row r="221" spans="2:8" x14ac:dyDescent="0.2">
      <c r="B221" s="23">
        <v>216</v>
      </c>
      <c r="C221" s="24">
        <f t="shared" si="11"/>
        <v>0</v>
      </c>
      <c r="D221" s="24">
        <f>IF(C221&lt;=0.01,0,IF('🔢 Simulador'!C13="REDUCIR PLAZO",MIN('🔢 Simulador'!C10, C221*(1+'🔢 Simulador'!C9)),MIN(IFERROR(PMT('🔢 Simulador'!C9,'🔢 Simulador'!C8-215,-C221),0), C221*(1+'🔢 Simulador'!C9))))</f>
        <v>0</v>
      </c>
      <c r="E221" s="25">
        <f>IF(C221&lt;=0.01,0,C221*'🔢 Simulador'!$C$9)</f>
        <v>0</v>
      </c>
      <c r="F221" s="26">
        <f t="shared" si="9"/>
        <v>0</v>
      </c>
      <c r="G221" s="27">
        <f>IFERROR(SUMIFS('🔢 Simulador'!$F$8:$F$19, '🔢 Simulador'!$E$8:$E$19, B221),0)</f>
        <v>0</v>
      </c>
      <c r="H221" s="28">
        <f t="shared" si="10"/>
        <v>0</v>
      </c>
    </row>
    <row r="222" spans="2:8" x14ac:dyDescent="0.2">
      <c r="B222" s="23">
        <v>217</v>
      </c>
      <c r="C222" s="24">
        <f t="shared" si="11"/>
        <v>0</v>
      </c>
      <c r="D222" s="24">
        <f>IF(C222&lt;=0.01,0,IF('🔢 Simulador'!C13="REDUCIR PLAZO",MIN('🔢 Simulador'!C10, C222*(1+'🔢 Simulador'!C9)),MIN(IFERROR(PMT('🔢 Simulador'!C9,'🔢 Simulador'!C8-216,-C222),0), C222*(1+'🔢 Simulador'!C9))))</f>
        <v>0</v>
      </c>
      <c r="E222" s="25">
        <f>IF(C222&lt;=0.01,0,C222*'🔢 Simulador'!$C$9)</f>
        <v>0</v>
      </c>
      <c r="F222" s="26">
        <f t="shared" si="9"/>
        <v>0</v>
      </c>
      <c r="G222" s="27">
        <f>IFERROR(SUMIFS('🔢 Simulador'!$F$8:$F$19, '🔢 Simulador'!$E$8:$E$19, B222),0)</f>
        <v>0</v>
      </c>
      <c r="H222" s="28">
        <f t="shared" si="10"/>
        <v>0</v>
      </c>
    </row>
    <row r="223" spans="2:8" x14ac:dyDescent="0.2">
      <c r="B223" s="23">
        <v>218</v>
      </c>
      <c r="C223" s="24">
        <f t="shared" si="11"/>
        <v>0</v>
      </c>
      <c r="D223" s="24">
        <f>IF(C223&lt;=0.01,0,IF('🔢 Simulador'!C13="REDUCIR PLAZO",MIN('🔢 Simulador'!C10, C223*(1+'🔢 Simulador'!C9)),MIN(IFERROR(PMT('🔢 Simulador'!C9,'🔢 Simulador'!C8-217,-C223),0), C223*(1+'🔢 Simulador'!C9))))</f>
        <v>0</v>
      </c>
      <c r="E223" s="25">
        <f>IF(C223&lt;=0.01,0,C223*'🔢 Simulador'!$C$9)</f>
        <v>0</v>
      </c>
      <c r="F223" s="26">
        <f t="shared" si="9"/>
        <v>0</v>
      </c>
      <c r="G223" s="27">
        <f>IFERROR(SUMIFS('🔢 Simulador'!$F$8:$F$19, '🔢 Simulador'!$E$8:$E$19, B223),0)</f>
        <v>0</v>
      </c>
      <c r="H223" s="28">
        <f t="shared" si="10"/>
        <v>0</v>
      </c>
    </row>
    <row r="224" spans="2:8" x14ac:dyDescent="0.2">
      <c r="B224" s="23">
        <v>219</v>
      </c>
      <c r="C224" s="24">
        <f t="shared" si="11"/>
        <v>0</v>
      </c>
      <c r="D224" s="24">
        <f>IF(C224&lt;=0.01,0,IF('🔢 Simulador'!C13="REDUCIR PLAZO",MIN('🔢 Simulador'!C10, C224*(1+'🔢 Simulador'!C9)),MIN(IFERROR(PMT('🔢 Simulador'!C9,'🔢 Simulador'!C8-218,-C224),0), C224*(1+'🔢 Simulador'!C9))))</f>
        <v>0</v>
      </c>
      <c r="E224" s="25">
        <f>IF(C224&lt;=0.01,0,C224*'🔢 Simulador'!$C$9)</f>
        <v>0</v>
      </c>
      <c r="F224" s="26">
        <f t="shared" si="9"/>
        <v>0</v>
      </c>
      <c r="G224" s="27">
        <f>IFERROR(SUMIFS('🔢 Simulador'!$F$8:$F$19, '🔢 Simulador'!$E$8:$E$19, B224),0)</f>
        <v>0</v>
      </c>
      <c r="H224" s="28">
        <f t="shared" si="10"/>
        <v>0</v>
      </c>
    </row>
    <row r="225" spans="2:8" x14ac:dyDescent="0.2">
      <c r="B225" s="23">
        <v>220</v>
      </c>
      <c r="C225" s="24">
        <f t="shared" si="11"/>
        <v>0</v>
      </c>
      <c r="D225" s="24">
        <f>IF(C225&lt;=0.01,0,IF('🔢 Simulador'!C13="REDUCIR PLAZO",MIN('🔢 Simulador'!C10, C225*(1+'🔢 Simulador'!C9)),MIN(IFERROR(PMT('🔢 Simulador'!C9,'🔢 Simulador'!C8-219,-C225),0), C225*(1+'🔢 Simulador'!C9))))</f>
        <v>0</v>
      </c>
      <c r="E225" s="25">
        <f>IF(C225&lt;=0.01,0,C225*'🔢 Simulador'!$C$9)</f>
        <v>0</v>
      </c>
      <c r="F225" s="26">
        <f t="shared" si="9"/>
        <v>0</v>
      </c>
      <c r="G225" s="27">
        <f>IFERROR(SUMIFS('🔢 Simulador'!$F$8:$F$19, '🔢 Simulador'!$E$8:$E$19, B225),0)</f>
        <v>0</v>
      </c>
      <c r="H225" s="28">
        <f t="shared" si="10"/>
        <v>0</v>
      </c>
    </row>
    <row r="226" spans="2:8" x14ac:dyDescent="0.2">
      <c r="B226" s="23">
        <v>221</v>
      </c>
      <c r="C226" s="24">
        <f t="shared" si="11"/>
        <v>0</v>
      </c>
      <c r="D226" s="24">
        <f>IF(C226&lt;=0.01,0,IF('🔢 Simulador'!C13="REDUCIR PLAZO",MIN('🔢 Simulador'!C10, C226*(1+'🔢 Simulador'!C9)),MIN(IFERROR(PMT('🔢 Simulador'!C9,'🔢 Simulador'!C8-220,-C226),0), C226*(1+'🔢 Simulador'!C9))))</f>
        <v>0</v>
      </c>
      <c r="E226" s="25">
        <f>IF(C226&lt;=0.01,0,C226*'🔢 Simulador'!$C$9)</f>
        <v>0</v>
      </c>
      <c r="F226" s="26">
        <f t="shared" si="9"/>
        <v>0</v>
      </c>
      <c r="G226" s="27">
        <f>IFERROR(SUMIFS('🔢 Simulador'!$F$8:$F$19, '🔢 Simulador'!$E$8:$E$19, B226),0)</f>
        <v>0</v>
      </c>
      <c r="H226" s="28">
        <f t="shared" si="10"/>
        <v>0</v>
      </c>
    </row>
    <row r="227" spans="2:8" x14ac:dyDescent="0.2">
      <c r="B227" s="23">
        <v>222</v>
      </c>
      <c r="C227" s="24">
        <f t="shared" si="11"/>
        <v>0</v>
      </c>
      <c r="D227" s="24">
        <f>IF(C227&lt;=0.01,0,IF('🔢 Simulador'!C13="REDUCIR PLAZO",MIN('🔢 Simulador'!C10, C227*(1+'🔢 Simulador'!C9)),MIN(IFERROR(PMT('🔢 Simulador'!C9,'🔢 Simulador'!C8-221,-C227),0), C227*(1+'🔢 Simulador'!C9))))</f>
        <v>0</v>
      </c>
      <c r="E227" s="25">
        <f>IF(C227&lt;=0.01,0,C227*'🔢 Simulador'!$C$9)</f>
        <v>0</v>
      </c>
      <c r="F227" s="26">
        <f t="shared" si="9"/>
        <v>0</v>
      </c>
      <c r="G227" s="27">
        <f>IFERROR(SUMIFS('🔢 Simulador'!$F$8:$F$19, '🔢 Simulador'!$E$8:$E$19, B227),0)</f>
        <v>0</v>
      </c>
      <c r="H227" s="28">
        <f t="shared" si="10"/>
        <v>0</v>
      </c>
    </row>
    <row r="228" spans="2:8" x14ac:dyDescent="0.2">
      <c r="B228" s="23">
        <v>223</v>
      </c>
      <c r="C228" s="24">
        <f t="shared" si="11"/>
        <v>0</v>
      </c>
      <c r="D228" s="24">
        <f>IF(C228&lt;=0.01,0,IF('🔢 Simulador'!C13="REDUCIR PLAZO",MIN('🔢 Simulador'!C10, C228*(1+'🔢 Simulador'!C9)),MIN(IFERROR(PMT('🔢 Simulador'!C9,'🔢 Simulador'!C8-222,-C228),0), C228*(1+'🔢 Simulador'!C9))))</f>
        <v>0</v>
      </c>
      <c r="E228" s="25">
        <f>IF(C228&lt;=0.01,0,C228*'🔢 Simulador'!$C$9)</f>
        <v>0</v>
      </c>
      <c r="F228" s="26">
        <f t="shared" si="9"/>
        <v>0</v>
      </c>
      <c r="G228" s="27">
        <f>IFERROR(SUMIFS('🔢 Simulador'!$F$8:$F$19, '🔢 Simulador'!$E$8:$E$19, B228),0)</f>
        <v>0</v>
      </c>
      <c r="H228" s="28">
        <f t="shared" si="10"/>
        <v>0</v>
      </c>
    </row>
    <row r="229" spans="2:8" x14ac:dyDescent="0.2">
      <c r="B229" s="23">
        <v>224</v>
      </c>
      <c r="C229" s="24">
        <f t="shared" si="11"/>
        <v>0</v>
      </c>
      <c r="D229" s="24">
        <f>IF(C229&lt;=0.01,0,IF('🔢 Simulador'!C13="REDUCIR PLAZO",MIN('🔢 Simulador'!C10, C229*(1+'🔢 Simulador'!C9)),MIN(IFERROR(PMT('🔢 Simulador'!C9,'🔢 Simulador'!C8-223,-C229),0), C229*(1+'🔢 Simulador'!C9))))</f>
        <v>0</v>
      </c>
      <c r="E229" s="25">
        <f>IF(C229&lt;=0.01,0,C229*'🔢 Simulador'!$C$9)</f>
        <v>0</v>
      </c>
      <c r="F229" s="26">
        <f t="shared" si="9"/>
        <v>0</v>
      </c>
      <c r="G229" s="27">
        <f>IFERROR(SUMIFS('🔢 Simulador'!$F$8:$F$19, '🔢 Simulador'!$E$8:$E$19, B229),0)</f>
        <v>0</v>
      </c>
      <c r="H229" s="28">
        <f t="shared" si="10"/>
        <v>0</v>
      </c>
    </row>
    <row r="230" spans="2:8" x14ac:dyDescent="0.2">
      <c r="B230" s="23">
        <v>225</v>
      </c>
      <c r="C230" s="24">
        <f t="shared" si="11"/>
        <v>0</v>
      </c>
      <c r="D230" s="24">
        <f>IF(C230&lt;=0.01,0,IF('🔢 Simulador'!C13="REDUCIR PLAZO",MIN('🔢 Simulador'!C10, C230*(1+'🔢 Simulador'!C9)),MIN(IFERROR(PMT('🔢 Simulador'!C9,'🔢 Simulador'!C8-224,-C230),0), C230*(1+'🔢 Simulador'!C9))))</f>
        <v>0</v>
      </c>
      <c r="E230" s="25">
        <f>IF(C230&lt;=0.01,0,C230*'🔢 Simulador'!$C$9)</f>
        <v>0</v>
      </c>
      <c r="F230" s="26">
        <f t="shared" si="9"/>
        <v>0</v>
      </c>
      <c r="G230" s="27">
        <f>IFERROR(SUMIFS('🔢 Simulador'!$F$8:$F$19, '🔢 Simulador'!$E$8:$E$19, B230),0)</f>
        <v>0</v>
      </c>
      <c r="H230" s="28">
        <f t="shared" si="10"/>
        <v>0</v>
      </c>
    </row>
    <row r="231" spans="2:8" x14ac:dyDescent="0.2">
      <c r="B231" s="23">
        <v>226</v>
      </c>
      <c r="C231" s="24">
        <f t="shared" si="11"/>
        <v>0</v>
      </c>
      <c r="D231" s="24">
        <f>IF(C231&lt;=0.01,0,IF('🔢 Simulador'!C13="REDUCIR PLAZO",MIN('🔢 Simulador'!C10, C231*(1+'🔢 Simulador'!C9)),MIN(IFERROR(PMT('🔢 Simulador'!C9,'🔢 Simulador'!C8-225,-C231),0), C231*(1+'🔢 Simulador'!C9))))</f>
        <v>0</v>
      </c>
      <c r="E231" s="25">
        <f>IF(C231&lt;=0.01,0,C231*'🔢 Simulador'!$C$9)</f>
        <v>0</v>
      </c>
      <c r="F231" s="26">
        <f t="shared" si="9"/>
        <v>0</v>
      </c>
      <c r="G231" s="27">
        <f>IFERROR(SUMIFS('🔢 Simulador'!$F$8:$F$19, '🔢 Simulador'!$E$8:$E$19, B231),0)</f>
        <v>0</v>
      </c>
      <c r="H231" s="28">
        <f t="shared" si="10"/>
        <v>0</v>
      </c>
    </row>
    <row r="232" spans="2:8" x14ac:dyDescent="0.2">
      <c r="B232" s="23">
        <v>227</v>
      </c>
      <c r="C232" s="24">
        <f t="shared" si="11"/>
        <v>0</v>
      </c>
      <c r="D232" s="24">
        <f>IF(C232&lt;=0.01,0,IF('🔢 Simulador'!C13="REDUCIR PLAZO",MIN('🔢 Simulador'!C10, C232*(1+'🔢 Simulador'!C9)),MIN(IFERROR(PMT('🔢 Simulador'!C9,'🔢 Simulador'!C8-226,-C232),0), C232*(1+'🔢 Simulador'!C9))))</f>
        <v>0</v>
      </c>
      <c r="E232" s="25">
        <f>IF(C232&lt;=0.01,0,C232*'🔢 Simulador'!$C$9)</f>
        <v>0</v>
      </c>
      <c r="F232" s="26">
        <f t="shared" si="9"/>
        <v>0</v>
      </c>
      <c r="G232" s="27">
        <f>IFERROR(SUMIFS('🔢 Simulador'!$F$8:$F$19, '🔢 Simulador'!$E$8:$E$19, B232),0)</f>
        <v>0</v>
      </c>
      <c r="H232" s="28">
        <f t="shared" si="10"/>
        <v>0</v>
      </c>
    </row>
    <row r="233" spans="2:8" x14ac:dyDescent="0.2">
      <c r="B233" s="23">
        <v>228</v>
      </c>
      <c r="C233" s="24">
        <f t="shared" si="11"/>
        <v>0</v>
      </c>
      <c r="D233" s="24">
        <f>IF(C233&lt;=0.01,0,IF('🔢 Simulador'!C13="REDUCIR PLAZO",MIN('🔢 Simulador'!C10, C233*(1+'🔢 Simulador'!C9)),MIN(IFERROR(PMT('🔢 Simulador'!C9,'🔢 Simulador'!C8-227,-C233),0), C233*(1+'🔢 Simulador'!C9))))</f>
        <v>0</v>
      </c>
      <c r="E233" s="25">
        <f>IF(C233&lt;=0.01,0,C233*'🔢 Simulador'!$C$9)</f>
        <v>0</v>
      </c>
      <c r="F233" s="26">
        <f t="shared" si="9"/>
        <v>0</v>
      </c>
      <c r="G233" s="27">
        <f>IFERROR(SUMIFS('🔢 Simulador'!$F$8:$F$19, '🔢 Simulador'!$E$8:$E$19, B233),0)</f>
        <v>0</v>
      </c>
      <c r="H233" s="28">
        <f t="shared" si="10"/>
        <v>0</v>
      </c>
    </row>
    <row r="234" spans="2:8" x14ac:dyDescent="0.2">
      <c r="B234" s="23">
        <v>229</v>
      </c>
      <c r="C234" s="24">
        <f t="shared" si="11"/>
        <v>0</v>
      </c>
      <c r="D234" s="24">
        <f>IF(C234&lt;=0.01,0,IF('🔢 Simulador'!C13="REDUCIR PLAZO",MIN('🔢 Simulador'!C10, C234*(1+'🔢 Simulador'!C9)),MIN(IFERROR(PMT('🔢 Simulador'!C9,'🔢 Simulador'!C8-228,-C234),0), C234*(1+'🔢 Simulador'!C9))))</f>
        <v>0</v>
      </c>
      <c r="E234" s="25">
        <f>IF(C234&lt;=0.01,0,C234*'🔢 Simulador'!$C$9)</f>
        <v>0</v>
      </c>
      <c r="F234" s="26">
        <f t="shared" si="9"/>
        <v>0</v>
      </c>
      <c r="G234" s="27">
        <f>IFERROR(SUMIFS('🔢 Simulador'!$F$8:$F$19, '🔢 Simulador'!$E$8:$E$19, B234),0)</f>
        <v>0</v>
      </c>
      <c r="H234" s="28">
        <f t="shared" si="10"/>
        <v>0</v>
      </c>
    </row>
    <row r="235" spans="2:8" x14ac:dyDescent="0.2">
      <c r="B235" s="23">
        <v>230</v>
      </c>
      <c r="C235" s="24">
        <f t="shared" si="11"/>
        <v>0</v>
      </c>
      <c r="D235" s="24">
        <f>IF(C235&lt;=0.01,0,IF('🔢 Simulador'!C13="REDUCIR PLAZO",MIN('🔢 Simulador'!C10, C235*(1+'🔢 Simulador'!C9)),MIN(IFERROR(PMT('🔢 Simulador'!C9,'🔢 Simulador'!C8-229,-C235),0), C235*(1+'🔢 Simulador'!C9))))</f>
        <v>0</v>
      </c>
      <c r="E235" s="25">
        <f>IF(C235&lt;=0.01,0,C235*'🔢 Simulador'!$C$9)</f>
        <v>0</v>
      </c>
      <c r="F235" s="26">
        <f t="shared" si="9"/>
        <v>0</v>
      </c>
      <c r="G235" s="27">
        <f>IFERROR(SUMIFS('🔢 Simulador'!$F$8:$F$19, '🔢 Simulador'!$E$8:$E$19, B235),0)</f>
        <v>0</v>
      </c>
      <c r="H235" s="28">
        <f t="shared" si="10"/>
        <v>0</v>
      </c>
    </row>
    <row r="236" spans="2:8" x14ac:dyDescent="0.2">
      <c r="B236" s="23">
        <v>231</v>
      </c>
      <c r="C236" s="24">
        <f t="shared" si="11"/>
        <v>0</v>
      </c>
      <c r="D236" s="24">
        <f>IF(C236&lt;=0.01,0,IF('🔢 Simulador'!C13="REDUCIR PLAZO",MIN('🔢 Simulador'!C10, C236*(1+'🔢 Simulador'!C9)),MIN(IFERROR(PMT('🔢 Simulador'!C9,'🔢 Simulador'!C8-230,-C236),0), C236*(1+'🔢 Simulador'!C9))))</f>
        <v>0</v>
      </c>
      <c r="E236" s="25">
        <f>IF(C236&lt;=0.01,0,C236*'🔢 Simulador'!$C$9)</f>
        <v>0</v>
      </c>
      <c r="F236" s="26">
        <f t="shared" si="9"/>
        <v>0</v>
      </c>
      <c r="G236" s="27">
        <f>IFERROR(SUMIFS('🔢 Simulador'!$F$8:$F$19, '🔢 Simulador'!$E$8:$E$19, B236),0)</f>
        <v>0</v>
      </c>
      <c r="H236" s="28">
        <f t="shared" si="10"/>
        <v>0</v>
      </c>
    </row>
    <row r="237" spans="2:8" x14ac:dyDescent="0.2">
      <c r="B237" s="23">
        <v>232</v>
      </c>
      <c r="C237" s="24">
        <f t="shared" si="11"/>
        <v>0</v>
      </c>
      <c r="D237" s="24">
        <f>IF(C237&lt;=0.01,0,IF('🔢 Simulador'!C13="REDUCIR PLAZO",MIN('🔢 Simulador'!C10, C237*(1+'🔢 Simulador'!C9)),MIN(IFERROR(PMT('🔢 Simulador'!C9,'🔢 Simulador'!C8-231,-C237),0), C237*(1+'🔢 Simulador'!C9))))</f>
        <v>0</v>
      </c>
      <c r="E237" s="25">
        <f>IF(C237&lt;=0.01,0,C237*'🔢 Simulador'!$C$9)</f>
        <v>0</v>
      </c>
      <c r="F237" s="26">
        <f t="shared" si="9"/>
        <v>0</v>
      </c>
      <c r="G237" s="27">
        <f>IFERROR(SUMIFS('🔢 Simulador'!$F$8:$F$19, '🔢 Simulador'!$E$8:$E$19, B237),0)</f>
        <v>0</v>
      </c>
      <c r="H237" s="28">
        <f t="shared" si="10"/>
        <v>0</v>
      </c>
    </row>
    <row r="238" spans="2:8" x14ac:dyDescent="0.2">
      <c r="B238" s="23">
        <v>233</v>
      </c>
      <c r="C238" s="24">
        <f t="shared" si="11"/>
        <v>0</v>
      </c>
      <c r="D238" s="24">
        <f>IF(C238&lt;=0.01,0,IF('🔢 Simulador'!C13="REDUCIR PLAZO",MIN('🔢 Simulador'!C10, C238*(1+'🔢 Simulador'!C9)),MIN(IFERROR(PMT('🔢 Simulador'!C9,'🔢 Simulador'!C8-232,-C238),0), C238*(1+'🔢 Simulador'!C9))))</f>
        <v>0</v>
      </c>
      <c r="E238" s="25">
        <f>IF(C238&lt;=0.01,0,C238*'🔢 Simulador'!$C$9)</f>
        <v>0</v>
      </c>
      <c r="F238" s="26">
        <f t="shared" si="9"/>
        <v>0</v>
      </c>
      <c r="G238" s="27">
        <f>IFERROR(SUMIFS('🔢 Simulador'!$F$8:$F$19, '🔢 Simulador'!$E$8:$E$19, B238),0)</f>
        <v>0</v>
      </c>
      <c r="H238" s="28">
        <f t="shared" si="10"/>
        <v>0</v>
      </c>
    </row>
    <row r="239" spans="2:8" x14ac:dyDescent="0.2">
      <c r="B239" s="23">
        <v>234</v>
      </c>
      <c r="C239" s="24">
        <f t="shared" si="11"/>
        <v>0</v>
      </c>
      <c r="D239" s="24">
        <f>IF(C239&lt;=0.01,0,IF('🔢 Simulador'!C13="REDUCIR PLAZO",MIN('🔢 Simulador'!C10, C239*(1+'🔢 Simulador'!C9)),MIN(IFERROR(PMT('🔢 Simulador'!C9,'🔢 Simulador'!C8-233,-C239),0), C239*(1+'🔢 Simulador'!C9))))</f>
        <v>0</v>
      </c>
      <c r="E239" s="25">
        <f>IF(C239&lt;=0.01,0,C239*'🔢 Simulador'!$C$9)</f>
        <v>0</v>
      </c>
      <c r="F239" s="26">
        <f t="shared" si="9"/>
        <v>0</v>
      </c>
      <c r="G239" s="27">
        <f>IFERROR(SUMIFS('🔢 Simulador'!$F$8:$F$19, '🔢 Simulador'!$E$8:$E$19, B239),0)</f>
        <v>0</v>
      </c>
      <c r="H239" s="28">
        <f t="shared" si="10"/>
        <v>0</v>
      </c>
    </row>
    <row r="240" spans="2:8" x14ac:dyDescent="0.2">
      <c r="B240" s="23">
        <v>235</v>
      </c>
      <c r="C240" s="24">
        <f t="shared" si="11"/>
        <v>0</v>
      </c>
      <c r="D240" s="24">
        <f>IF(C240&lt;=0.01,0,IF('🔢 Simulador'!C13="REDUCIR PLAZO",MIN('🔢 Simulador'!C10, C240*(1+'🔢 Simulador'!C9)),MIN(IFERROR(PMT('🔢 Simulador'!C9,'🔢 Simulador'!C8-234,-C240),0), C240*(1+'🔢 Simulador'!C9))))</f>
        <v>0</v>
      </c>
      <c r="E240" s="25">
        <f>IF(C240&lt;=0.01,0,C240*'🔢 Simulador'!$C$9)</f>
        <v>0</v>
      </c>
      <c r="F240" s="26">
        <f t="shared" si="9"/>
        <v>0</v>
      </c>
      <c r="G240" s="27">
        <f>IFERROR(SUMIFS('🔢 Simulador'!$F$8:$F$19, '🔢 Simulador'!$E$8:$E$19, B240),0)</f>
        <v>0</v>
      </c>
      <c r="H240" s="28">
        <f t="shared" si="10"/>
        <v>0</v>
      </c>
    </row>
    <row r="241" spans="2:8" x14ac:dyDescent="0.2">
      <c r="B241" s="23">
        <v>236</v>
      </c>
      <c r="C241" s="24">
        <f t="shared" si="11"/>
        <v>0</v>
      </c>
      <c r="D241" s="24">
        <f>IF(C241&lt;=0.01,0,IF('🔢 Simulador'!C13="REDUCIR PLAZO",MIN('🔢 Simulador'!C10, C241*(1+'🔢 Simulador'!C9)),MIN(IFERROR(PMT('🔢 Simulador'!C9,'🔢 Simulador'!C8-235,-C241),0), C241*(1+'🔢 Simulador'!C9))))</f>
        <v>0</v>
      </c>
      <c r="E241" s="25">
        <f>IF(C241&lt;=0.01,0,C241*'🔢 Simulador'!$C$9)</f>
        <v>0</v>
      </c>
      <c r="F241" s="26">
        <f t="shared" si="9"/>
        <v>0</v>
      </c>
      <c r="G241" s="27">
        <f>IFERROR(SUMIFS('🔢 Simulador'!$F$8:$F$19, '🔢 Simulador'!$E$8:$E$19, B241),0)</f>
        <v>0</v>
      </c>
      <c r="H241" s="28">
        <f t="shared" si="10"/>
        <v>0</v>
      </c>
    </row>
    <row r="242" spans="2:8" x14ac:dyDescent="0.2">
      <c r="B242" s="23">
        <v>237</v>
      </c>
      <c r="C242" s="24">
        <f t="shared" si="11"/>
        <v>0</v>
      </c>
      <c r="D242" s="24">
        <f>IF(C242&lt;=0.01,0,IF('🔢 Simulador'!C13="REDUCIR PLAZO",MIN('🔢 Simulador'!C10, C242*(1+'🔢 Simulador'!C9)),MIN(IFERROR(PMT('🔢 Simulador'!C9,'🔢 Simulador'!C8-236,-C242),0), C242*(1+'🔢 Simulador'!C9))))</f>
        <v>0</v>
      </c>
      <c r="E242" s="25">
        <f>IF(C242&lt;=0.01,0,C242*'🔢 Simulador'!$C$9)</f>
        <v>0</v>
      </c>
      <c r="F242" s="26">
        <f t="shared" si="9"/>
        <v>0</v>
      </c>
      <c r="G242" s="27">
        <f>IFERROR(SUMIFS('🔢 Simulador'!$F$8:$F$19, '🔢 Simulador'!$E$8:$E$19, B242),0)</f>
        <v>0</v>
      </c>
      <c r="H242" s="28">
        <f t="shared" si="10"/>
        <v>0</v>
      </c>
    </row>
    <row r="243" spans="2:8" x14ac:dyDescent="0.2">
      <c r="B243" s="23">
        <v>238</v>
      </c>
      <c r="C243" s="24">
        <f t="shared" si="11"/>
        <v>0</v>
      </c>
      <c r="D243" s="24">
        <f>IF(C243&lt;=0.01,0,IF('🔢 Simulador'!C13="REDUCIR PLAZO",MIN('🔢 Simulador'!C10, C243*(1+'🔢 Simulador'!C9)),MIN(IFERROR(PMT('🔢 Simulador'!C9,'🔢 Simulador'!C8-237,-C243),0), C243*(1+'🔢 Simulador'!C9))))</f>
        <v>0</v>
      </c>
      <c r="E243" s="25">
        <f>IF(C243&lt;=0.01,0,C243*'🔢 Simulador'!$C$9)</f>
        <v>0</v>
      </c>
      <c r="F243" s="26">
        <f t="shared" si="9"/>
        <v>0</v>
      </c>
      <c r="G243" s="27">
        <f>IFERROR(SUMIFS('🔢 Simulador'!$F$8:$F$19, '🔢 Simulador'!$E$8:$E$19, B243),0)</f>
        <v>0</v>
      </c>
      <c r="H243" s="28">
        <f t="shared" si="10"/>
        <v>0</v>
      </c>
    </row>
    <row r="244" spans="2:8" x14ac:dyDescent="0.2">
      <c r="B244" s="23">
        <v>239</v>
      </c>
      <c r="C244" s="24">
        <f t="shared" si="11"/>
        <v>0</v>
      </c>
      <c r="D244" s="24">
        <f>IF(C244&lt;=0.01,0,IF('🔢 Simulador'!C13="REDUCIR PLAZO",MIN('🔢 Simulador'!C10, C244*(1+'🔢 Simulador'!C9)),MIN(IFERROR(PMT('🔢 Simulador'!C9,'🔢 Simulador'!C8-238,-C244),0), C244*(1+'🔢 Simulador'!C9))))</f>
        <v>0</v>
      </c>
      <c r="E244" s="25">
        <f>IF(C244&lt;=0.01,0,C244*'🔢 Simulador'!$C$9)</f>
        <v>0</v>
      </c>
      <c r="F244" s="26">
        <f t="shared" si="9"/>
        <v>0</v>
      </c>
      <c r="G244" s="27">
        <f>IFERROR(SUMIFS('🔢 Simulador'!$F$8:$F$19, '🔢 Simulador'!$E$8:$E$19, B244),0)</f>
        <v>0</v>
      </c>
      <c r="H244" s="28">
        <f t="shared" si="10"/>
        <v>0</v>
      </c>
    </row>
    <row r="245" spans="2:8" x14ac:dyDescent="0.2">
      <c r="B245" s="23">
        <v>240</v>
      </c>
      <c r="C245" s="24">
        <f t="shared" si="11"/>
        <v>0</v>
      </c>
      <c r="D245" s="24">
        <f>IF(C245&lt;=0.01,0,IF('🔢 Simulador'!C13="REDUCIR PLAZO",MIN('🔢 Simulador'!C10, C245*(1+'🔢 Simulador'!C9)),MIN(IFERROR(PMT('🔢 Simulador'!C9,'🔢 Simulador'!C8-239,-C245),0), C245*(1+'🔢 Simulador'!C9))))</f>
        <v>0</v>
      </c>
      <c r="E245" s="25">
        <f>IF(C245&lt;=0.01,0,C245*'🔢 Simulador'!$C$9)</f>
        <v>0</v>
      </c>
      <c r="F245" s="26">
        <f t="shared" si="9"/>
        <v>0</v>
      </c>
      <c r="G245" s="27">
        <f>IFERROR(SUMIFS('🔢 Simulador'!$F$8:$F$19, '🔢 Simulador'!$E$8:$E$19, B245),0)</f>
        <v>0</v>
      </c>
      <c r="H245" s="28">
        <f t="shared" si="10"/>
        <v>0</v>
      </c>
    </row>
    <row r="246" spans="2:8" x14ac:dyDescent="0.2">
      <c r="B246" s="23">
        <v>241</v>
      </c>
      <c r="C246" s="24">
        <f t="shared" si="11"/>
        <v>0</v>
      </c>
      <c r="D246" s="24">
        <f>IF(C246&lt;=0.01,0,IF('🔢 Simulador'!C13="REDUCIR PLAZO",MIN('🔢 Simulador'!C10, C246*(1+'🔢 Simulador'!C9)),MIN(IFERROR(PMT('🔢 Simulador'!C9,'🔢 Simulador'!C8-240,-C246),0), C246*(1+'🔢 Simulador'!C9))))</f>
        <v>0</v>
      </c>
      <c r="E246" s="25">
        <f>IF(C246&lt;=0.01,0,C246*'🔢 Simulador'!$C$9)</f>
        <v>0</v>
      </c>
      <c r="F246" s="26">
        <f t="shared" si="9"/>
        <v>0</v>
      </c>
      <c r="G246" s="27">
        <f>IFERROR(SUMIFS('🔢 Simulador'!$F$8:$F$19, '🔢 Simulador'!$E$8:$E$19, B246),0)</f>
        <v>0</v>
      </c>
      <c r="H246" s="28">
        <f t="shared" si="10"/>
        <v>0</v>
      </c>
    </row>
    <row r="247" spans="2:8" x14ac:dyDescent="0.2">
      <c r="B247" s="23">
        <v>242</v>
      </c>
      <c r="C247" s="24">
        <f t="shared" si="11"/>
        <v>0</v>
      </c>
      <c r="D247" s="24">
        <f>IF(C247&lt;=0.01,0,IF('🔢 Simulador'!C13="REDUCIR PLAZO",MIN('🔢 Simulador'!C10, C247*(1+'🔢 Simulador'!C9)),MIN(IFERROR(PMT('🔢 Simulador'!C9,'🔢 Simulador'!C8-241,-C247),0), C247*(1+'🔢 Simulador'!C9))))</f>
        <v>0</v>
      </c>
      <c r="E247" s="25">
        <f>IF(C247&lt;=0.01,0,C247*'🔢 Simulador'!$C$9)</f>
        <v>0</v>
      </c>
      <c r="F247" s="26">
        <f t="shared" si="9"/>
        <v>0</v>
      </c>
      <c r="G247" s="27">
        <f>IFERROR(SUMIFS('🔢 Simulador'!$F$8:$F$19, '🔢 Simulador'!$E$8:$E$19, B247),0)</f>
        <v>0</v>
      </c>
      <c r="H247" s="28">
        <f t="shared" si="10"/>
        <v>0</v>
      </c>
    </row>
    <row r="248" spans="2:8" x14ac:dyDescent="0.2">
      <c r="B248" s="23">
        <v>243</v>
      </c>
      <c r="C248" s="24">
        <f t="shared" si="11"/>
        <v>0</v>
      </c>
      <c r="D248" s="24">
        <f>IF(C248&lt;=0.01,0,IF('🔢 Simulador'!C13="REDUCIR PLAZO",MIN('🔢 Simulador'!C10, C248*(1+'🔢 Simulador'!C9)),MIN(IFERROR(PMT('🔢 Simulador'!C9,'🔢 Simulador'!C8-242,-C248),0), C248*(1+'🔢 Simulador'!C9))))</f>
        <v>0</v>
      </c>
      <c r="E248" s="25">
        <f>IF(C248&lt;=0.01,0,C248*'🔢 Simulador'!$C$9)</f>
        <v>0</v>
      </c>
      <c r="F248" s="26">
        <f t="shared" si="9"/>
        <v>0</v>
      </c>
      <c r="G248" s="27">
        <f>IFERROR(SUMIFS('🔢 Simulador'!$F$8:$F$19, '🔢 Simulador'!$E$8:$E$19, B248),0)</f>
        <v>0</v>
      </c>
      <c r="H248" s="28">
        <f t="shared" si="10"/>
        <v>0</v>
      </c>
    </row>
    <row r="249" spans="2:8" x14ac:dyDescent="0.2">
      <c r="B249" s="23">
        <v>244</v>
      </c>
      <c r="C249" s="24">
        <f t="shared" si="11"/>
        <v>0</v>
      </c>
      <c r="D249" s="24">
        <f>IF(C249&lt;=0.01,0,IF('🔢 Simulador'!C13="REDUCIR PLAZO",MIN('🔢 Simulador'!C10, C249*(1+'🔢 Simulador'!C9)),MIN(IFERROR(PMT('🔢 Simulador'!C9,'🔢 Simulador'!C8-243,-C249),0), C249*(1+'🔢 Simulador'!C9))))</f>
        <v>0</v>
      </c>
      <c r="E249" s="25">
        <f>IF(C249&lt;=0.01,0,C249*'🔢 Simulador'!$C$9)</f>
        <v>0</v>
      </c>
      <c r="F249" s="26">
        <f t="shared" si="9"/>
        <v>0</v>
      </c>
      <c r="G249" s="27">
        <f>IFERROR(SUMIFS('🔢 Simulador'!$F$8:$F$19, '🔢 Simulador'!$E$8:$E$19, B249),0)</f>
        <v>0</v>
      </c>
      <c r="H249" s="28">
        <f t="shared" si="10"/>
        <v>0</v>
      </c>
    </row>
    <row r="250" spans="2:8" x14ac:dyDescent="0.2">
      <c r="B250" s="23">
        <v>245</v>
      </c>
      <c r="C250" s="24">
        <f t="shared" si="11"/>
        <v>0</v>
      </c>
      <c r="D250" s="24">
        <f>IF(C250&lt;=0.01,0,IF('🔢 Simulador'!C13="REDUCIR PLAZO",MIN('🔢 Simulador'!C10, C250*(1+'🔢 Simulador'!C9)),MIN(IFERROR(PMT('🔢 Simulador'!C9,'🔢 Simulador'!C8-244,-C250),0), C250*(1+'🔢 Simulador'!C9))))</f>
        <v>0</v>
      </c>
      <c r="E250" s="25">
        <f>IF(C250&lt;=0.01,0,C250*'🔢 Simulador'!$C$9)</f>
        <v>0</v>
      </c>
      <c r="F250" s="26">
        <f t="shared" si="9"/>
        <v>0</v>
      </c>
      <c r="G250" s="27">
        <f>IFERROR(SUMIFS('🔢 Simulador'!$F$8:$F$19, '🔢 Simulador'!$E$8:$E$19, B250),0)</f>
        <v>0</v>
      </c>
      <c r="H250" s="28">
        <f t="shared" si="10"/>
        <v>0</v>
      </c>
    </row>
    <row r="251" spans="2:8" x14ac:dyDescent="0.2">
      <c r="B251" s="23">
        <v>246</v>
      </c>
      <c r="C251" s="24">
        <f t="shared" si="11"/>
        <v>0</v>
      </c>
      <c r="D251" s="24">
        <f>IF(C251&lt;=0.01,0,IF('🔢 Simulador'!C13="REDUCIR PLAZO",MIN('🔢 Simulador'!C10, C251*(1+'🔢 Simulador'!C9)),MIN(IFERROR(PMT('🔢 Simulador'!C9,'🔢 Simulador'!C8-245,-C251),0), C251*(1+'🔢 Simulador'!C9))))</f>
        <v>0</v>
      </c>
      <c r="E251" s="25">
        <f>IF(C251&lt;=0.01,0,C251*'🔢 Simulador'!$C$9)</f>
        <v>0</v>
      </c>
      <c r="F251" s="26">
        <f t="shared" si="9"/>
        <v>0</v>
      </c>
      <c r="G251" s="27">
        <f>IFERROR(SUMIFS('🔢 Simulador'!$F$8:$F$19, '🔢 Simulador'!$E$8:$E$19, B251),0)</f>
        <v>0</v>
      </c>
      <c r="H251" s="28">
        <f t="shared" si="10"/>
        <v>0</v>
      </c>
    </row>
    <row r="252" spans="2:8" x14ac:dyDescent="0.2">
      <c r="B252" s="23">
        <v>247</v>
      </c>
      <c r="C252" s="24">
        <f t="shared" si="11"/>
        <v>0</v>
      </c>
      <c r="D252" s="24">
        <f>IF(C252&lt;=0.01,0,IF('🔢 Simulador'!C13="REDUCIR PLAZO",MIN('🔢 Simulador'!C10, C252*(1+'🔢 Simulador'!C9)),MIN(IFERROR(PMT('🔢 Simulador'!C9,'🔢 Simulador'!C8-246,-C252),0), C252*(1+'🔢 Simulador'!C9))))</f>
        <v>0</v>
      </c>
      <c r="E252" s="25">
        <f>IF(C252&lt;=0.01,0,C252*'🔢 Simulador'!$C$9)</f>
        <v>0</v>
      </c>
      <c r="F252" s="26">
        <f t="shared" si="9"/>
        <v>0</v>
      </c>
      <c r="G252" s="27">
        <f>IFERROR(SUMIFS('🔢 Simulador'!$F$8:$F$19, '🔢 Simulador'!$E$8:$E$19, B252),0)</f>
        <v>0</v>
      </c>
      <c r="H252" s="28">
        <f t="shared" si="10"/>
        <v>0</v>
      </c>
    </row>
    <row r="253" spans="2:8" x14ac:dyDescent="0.2">
      <c r="B253" s="23">
        <v>248</v>
      </c>
      <c r="C253" s="24">
        <f t="shared" si="11"/>
        <v>0</v>
      </c>
      <c r="D253" s="24">
        <f>IF(C253&lt;=0.01,0,IF('🔢 Simulador'!C13="REDUCIR PLAZO",MIN('🔢 Simulador'!C10, C253*(1+'🔢 Simulador'!C9)),MIN(IFERROR(PMT('🔢 Simulador'!C9,'🔢 Simulador'!C8-247,-C253),0), C253*(1+'🔢 Simulador'!C9))))</f>
        <v>0</v>
      </c>
      <c r="E253" s="25">
        <f>IF(C253&lt;=0.01,0,C253*'🔢 Simulador'!$C$9)</f>
        <v>0</v>
      </c>
      <c r="F253" s="26">
        <f t="shared" si="9"/>
        <v>0</v>
      </c>
      <c r="G253" s="27">
        <f>IFERROR(SUMIFS('🔢 Simulador'!$F$8:$F$19, '🔢 Simulador'!$E$8:$E$19, B253),0)</f>
        <v>0</v>
      </c>
      <c r="H253" s="28">
        <f t="shared" si="10"/>
        <v>0</v>
      </c>
    </row>
    <row r="254" spans="2:8" x14ac:dyDescent="0.2">
      <c r="B254" s="23">
        <v>249</v>
      </c>
      <c r="C254" s="24">
        <f t="shared" si="11"/>
        <v>0</v>
      </c>
      <c r="D254" s="24">
        <f>IF(C254&lt;=0.01,0,IF('🔢 Simulador'!C13="REDUCIR PLAZO",MIN('🔢 Simulador'!C10, C254*(1+'🔢 Simulador'!C9)),MIN(IFERROR(PMT('🔢 Simulador'!C9,'🔢 Simulador'!C8-248,-C254),0), C254*(1+'🔢 Simulador'!C9))))</f>
        <v>0</v>
      </c>
      <c r="E254" s="25">
        <f>IF(C254&lt;=0.01,0,C254*'🔢 Simulador'!$C$9)</f>
        <v>0</v>
      </c>
      <c r="F254" s="26">
        <f t="shared" si="9"/>
        <v>0</v>
      </c>
      <c r="G254" s="27">
        <f>IFERROR(SUMIFS('🔢 Simulador'!$F$8:$F$19, '🔢 Simulador'!$E$8:$E$19, B254),0)</f>
        <v>0</v>
      </c>
      <c r="H254" s="28">
        <f t="shared" si="10"/>
        <v>0</v>
      </c>
    </row>
    <row r="255" spans="2:8" x14ac:dyDescent="0.2">
      <c r="B255" s="23">
        <v>250</v>
      </c>
      <c r="C255" s="24">
        <f t="shared" si="11"/>
        <v>0</v>
      </c>
      <c r="D255" s="24">
        <f>IF(C255&lt;=0.01,0,IF('🔢 Simulador'!C13="REDUCIR PLAZO",MIN('🔢 Simulador'!C10, C255*(1+'🔢 Simulador'!C9)),MIN(IFERROR(PMT('🔢 Simulador'!C9,'🔢 Simulador'!C8-249,-C255),0), C255*(1+'🔢 Simulador'!C9))))</f>
        <v>0</v>
      </c>
      <c r="E255" s="25">
        <f>IF(C255&lt;=0.01,0,C255*'🔢 Simulador'!$C$9)</f>
        <v>0</v>
      </c>
      <c r="F255" s="26">
        <f t="shared" si="9"/>
        <v>0</v>
      </c>
      <c r="G255" s="27">
        <f>IFERROR(SUMIFS('🔢 Simulador'!$F$8:$F$19, '🔢 Simulador'!$E$8:$E$19, B255),0)</f>
        <v>0</v>
      </c>
      <c r="H255" s="28">
        <f t="shared" si="10"/>
        <v>0</v>
      </c>
    </row>
    <row r="256" spans="2:8" x14ac:dyDescent="0.2">
      <c r="B256" s="23">
        <v>251</v>
      </c>
      <c r="C256" s="24">
        <f t="shared" si="11"/>
        <v>0</v>
      </c>
      <c r="D256" s="24">
        <f>IF(C256&lt;=0.01,0,IF('🔢 Simulador'!C13="REDUCIR PLAZO",MIN('🔢 Simulador'!C10, C256*(1+'🔢 Simulador'!C9)),MIN(IFERROR(PMT('🔢 Simulador'!C9,'🔢 Simulador'!C8-250,-C256),0), C256*(1+'🔢 Simulador'!C9))))</f>
        <v>0</v>
      </c>
      <c r="E256" s="25">
        <f>IF(C256&lt;=0.01,0,C256*'🔢 Simulador'!$C$9)</f>
        <v>0</v>
      </c>
      <c r="F256" s="26">
        <f t="shared" si="9"/>
        <v>0</v>
      </c>
      <c r="G256" s="27">
        <f>IFERROR(SUMIFS('🔢 Simulador'!$F$8:$F$19, '🔢 Simulador'!$E$8:$E$19, B256),0)</f>
        <v>0</v>
      </c>
      <c r="H256" s="28">
        <f t="shared" si="10"/>
        <v>0</v>
      </c>
    </row>
    <row r="257" spans="2:8" x14ac:dyDescent="0.2">
      <c r="B257" s="23">
        <v>252</v>
      </c>
      <c r="C257" s="24">
        <f t="shared" si="11"/>
        <v>0</v>
      </c>
      <c r="D257" s="24">
        <f>IF(C257&lt;=0.01,0,IF('🔢 Simulador'!C13="REDUCIR PLAZO",MIN('🔢 Simulador'!C10, C257*(1+'🔢 Simulador'!C9)),MIN(IFERROR(PMT('🔢 Simulador'!C9,'🔢 Simulador'!C8-251,-C257),0), C257*(1+'🔢 Simulador'!C9))))</f>
        <v>0</v>
      </c>
      <c r="E257" s="25">
        <f>IF(C257&lt;=0.01,0,C257*'🔢 Simulador'!$C$9)</f>
        <v>0</v>
      </c>
      <c r="F257" s="26">
        <f t="shared" si="9"/>
        <v>0</v>
      </c>
      <c r="G257" s="27">
        <f>IFERROR(SUMIFS('🔢 Simulador'!$F$8:$F$19, '🔢 Simulador'!$E$8:$E$19, B257),0)</f>
        <v>0</v>
      </c>
      <c r="H257" s="28">
        <f t="shared" si="10"/>
        <v>0</v>
      </c>
    </row>
    <row r="258" spans="2:8" x14ac:dyDescent="0.2">
      <c r="B258" s="23">
        <v>253</v>
      </c>
      <c r="C258" s="24">
        <f t="shared" si="11"/>
        <v>0</v>
      </c>
      <c r="D258" s="24">
        <f>IF(C258&lt;=0.01,0,IF('🔢 Simulador'!C13="REDUCIR PLAZO",MIN('🔢 Simulador'!C10, C258*(1+'🔢 Simulador'!C9)),MIN(IFERROR(PMT('🔢 Simulador'!C9,'🔢 Simulador'!C8-252,-C258),0), C258*(1+'🔢 Simulador'!C9))))</f>
        <v>0</v>
      </c>
      <c r="E258" s="25">
        <f>IF(C258&lt;=0.01,0,C258*'🔢 Simulador'!$C$9)</f>
        <v>0</v>
      </c>
      <c r="F258" s="26">
        <f t="shared" si="9"/>
        <v>0</v>
      </c>
      <c r="G258" s="27">
        <f>IFERROR(SUMIFS('🔢 Simulador'!$F$8:$F$19, '🔢 Simulador'!$E$8:$E$19, B258),0)</f>
        <v>0</v>
      </c>
      <c r="H258" s="28">
        <f t="shared" si="10"/>
        <v>0</v>
      </c>
    </row>
    <row r="259" spans="2:8" x14ac:dyDescent="0.2">
      <c r="B259" s="23">
        <v>254</v>
      </c>
      <c r="C259" s="24">
        <f t="shared" si="11"/>
        <v>0</v>
      </c>
      <c r="D259" s="24">
        <f>IF(C259&lt;=0.01,0,IF('🔢 Simulador'!C13="REDUCIR PLAZO",MIN('🔢 Simulador'!C10, C259*(1+'🔢 Simulador'!C9)),MIN(IFERROR(PMT('🔢 Simulador'!C9,'🔢 Simulador'!C8-253,-C259),0), C259*(1+'🔢 Simulador'!C9))))</f>
        <v>0</v>
      </c>
      <c r="E259" s="25">
        <f>IF(C259&lt;=0.01,0,C259*'🔢 Simulador'!$C$9)</f>
        <v>0</v>
      </c>
      <c r="F259" s="26">
        <f t="shared" si="9"/>
        <v>0</v>
      </c>
      <c r="G259" s="27">
        <f>IFERROR(SUMIFS('🔢 Simulador'!$F$8:$F$19, '🔢 Simulador'!$E$8:$E$19, B259),0)</f>
        <v>0</v>
      </c>
      <c r="H259" s="28">
        <f t="shared" si="10"/>
        <v>0</v>
      </c>
    </row>
    <row r="260" spans="2:8" x14ac:dyDescent="0.2">
      <c r="B260" s="23">
        <v>255</v>
      </c>
      <c r="C260" s="24">
        <f t="shared" si="11"/>
        <v>0</v>
      </c>
      <c r="D260" s="24">
        <f>IF(C260&lt;=0.01,0,IF('🔢 Simulador'!C13="REDUCIR PLAZO",MIN('🔢 Simulador'!C10, C260*(1+'🔢 Simulador'!C9)),MIN(IFERROR(PMT('🔢 Simulador'!C9,'🔢 Simulador'!C8-254,-C260),0), C260*(1+'🔢 Simulador'!C9))))</f>
        <v>0</v>
      </c>
      <c r="E260" s="25">
        <f>IF(C260&lt;=0.01,0,C260*'🔢 Simulador'!$C$9)</f>
        <v>0</v>
      </c>
      <c r="F260" s="26">
        <f t="shared" si="9"/>
        <v>0</v>
      </c>
      <c r="G260" s="27">
        <f>IFERROR(SUMIFS('🔢 Simulador'!$F$8:$F$19, '🔢 Simulador'!$E$8:$E$19, B260),0)</f>
        <v>0</v>
      </c>
      <c r="H260" s="28">
        <f t="shared" si="10"/>
        <v>0</v>
      </c>
    </row>
    <row r="261" spans="2:8" x14ac:dyDescent="0.2">
      <c r="B261" s="23">
        <v>256</v>
      </c>
      <c r="C261" s="24">
        <f t="shared" si="11"/>
        <v>0</v>
      </c>
      <c r="D261" s="24">
        <f>IF(C261&lt;=0.01,0,IF('🔢 Simulador'!C13="REDUCIR PLAZO",MIN('🔢 Simulador'!C10, C261*(1+'🔢 Simulador'!C9)),MIN(IFERROR(PMT('🔢 Simulador'!C9,'🔢 Simulador'!C8-255,-C261),0), C261*(1+'🔢 Simulador'!C9))))</f>
        <v>0</v>
      </c>
      <c r="E261" s="25">
        <f>IF(C261&lt;=0.01,0,C261*'🔢 Simulador'!$C$9)</f>
        <v>0</v>
      </c>
      <c r="F261" s="26">
        <f t="shared" si="9"/>
        <v>0</v>
      </c>
      <c r="G261" s="27">
        <f>IFERROR(SUMIFS('🔢 Simulador'!$F$8:$F$19, '🔢 Simulador'!$E$8:$E$19, B261),0)</f>
        <v>0</v>
      </c>
      <c r="H261" s="28">
        <f t="shared" si="10"/>
        <v>0</v>
      </c>
    </row>
    <row r="262" spans="2:8" x14ac:dyDescent="0.2">
      <c r="B262" s="23">
        <v>257</v>
      </c>
      <c r="C262" s="24">
        <f t="shared" si="11"/>
        <v>0</v>
      </c>
      <c r="D262" s="24">
        <f>IF(C262&lt;=0.01,0,IF('🔢 Simulador'!C13="REDUCIR PLAZO",MIN('🔢 Simulador'!C10, C262*(1+'🔢 Simulador'!C9)),MIN(IFERROR(PMT('🔢 Simulador'!C9,'🔢 Simulador'!C8-256,-C262),0), C262*(1+'🔢 Simulador'!C9))))</f>
        <v>0</v>
      </c>
      <c r="E262" s="25">
        <f>IF(C262&lt;=0.01,0,C262*'🔢 Simulador'!$C$9)</f>
        <v>0</v>
      </c>
      <c r="F262" s="26">
        <f t="shared" ref="F262:F325" si="12">MAX(0, D262-E262)</f>
        <v>0</v>
      </c>
      <c r="G262" s="27">
        <f>IFERROR(SUMIFS('🔢 Simulador'!$F$8:$F$19, '🔢 Simulador'!$E$8:$E$19, B262),0)</f>
        <v>0</v>
      </c>
      <c r="H262" s="28">
        <f t="shared" ref="H262:H325" si="13">MAX(0, C262-F262-G262)</f>
        <v>0</v>
      </c>
    </row>
    <row r="263" spans="2:8" x14ac:dyDescent="0.2">
      <c r="B263" s="23">
        <v>258</v>
      </c>
      <c r="C263" s="24">
        <f t="shared" ref="C263:C305" si="14">IF(H262&lt;=0.01,0,H262)</f>
        <v>0</v>
      </c>
      <c r="D263" s="24">
        <f>IF(C263&lt;=0.01,0,IF('🔢 Simulador'!C13="REDUCIR PLAZO",MIN('🔢 Simulador'!C10, C263*(1+'🔢 Simulador'!C9)),MIN(IFERROR(PMT('🔢 Simulador'!C9,'🔢 Simulador'!C8-257,-C263),0), C263*(1+'🔢 Simulador'!C9))))</f>
        <v>0</v>
      </c>
      <c r="E263" s="25">
        <f>IF(C263&lt;=0.01,0,C263*'🔢 Simulador'!$C$9)</f>
        <v>0</v>
      </c>
      <c r="F263" s="26">
        <f t="shared" si="12"/>
        <v>0</v>
      </c>
      <c r="G263" s="27">
        <f>IFERROR(SUMIFS('🔢 Simulador'!$F$8:$F$19, '🔢 Simulador'!$E$8:$E$19, B263),0)</f>
        <v>0</v>
      </c>
      <c r="H263" s="28">
        <f t="shared" si="13"/>
        <v>0</v>
      </c>
    </row>
    <row r="264" spans="2:8" x14ac:dyDescent="0.2">
      <c r="B264" s="23">
        <v>259</v>
      </c>
      <c r="C264" s="24">
        <f t="shared" si="14"/>
        <v>0</v>
      </c>
      <c r="D264" s="24">
        <f>IF(C264&lt;=0.01,0,IF('🔢 Simulador'!C13="REDUCIR PLAZO",MIN('🔢 Simulador'!C10, C264*(1+'🔢 Simulador'!C9)),MIN(IFERROR(PMT('🔢 Simulador'!C9,'🔢 Simulador'!C8-258,-C264),0), C264*(1+'🔢 Simulador'!C9))))</f>
        <v>0</v>
      </c>
      <c r="E264" s="25">
        <f>IF(C264&lt;=0.01,0,C264*'🔢 Simulador'!$C$9)</f>
        <v>0</v>
      </c>
      <c r="F264" s="26">
        <f t="shared" si="12"/>
        <v>0</v>
      </c>
      <c r="G264" s="27">
        <f>IFERROR(SUMIFS('🔢 Simulador'!$F$8:$F$19, '🔢 Simulador'!$E$8:$E$19, B264),0)</f>
        <v>0</v>
      </c>
      <c r="H264" s="28">
        <f t="shared" si="13"/>
        <v>0</v>
      </c>
    </row>
    <row r="265" spans="2:8" x14ac:dyDescent="0.2">
      <c r="B265" s="23">
        <v>260</v>
      </c>
      <c r="C265" s="24">
        <f t="shared" si="14"/>
        <v>0</v>
      </c>
      <c r="D265" s="24">
        <f>IF(C265&lt;=0.01,0,IF('🔢 Simulador'!C13="REDUCIR PLAZO",MIN('🔢 Simulador'!C10, C265*(1+'🔢 Simulador'!C9)),MIN(IFERROR(PMT('🔢 Simulador'!C9,'🔢 Simulador'!C8-259,-C265),0), C265*(1+'🔢 Simulador'!C9))))</f>
        <v>0</v>
      </c>
      <c r="E265" s="25">
        <f>IF(C265&lt;=0.01,0,C265*'🔢 Simulador'!$C$9)</f>
        <v>0</v>
      </c>
      <c r="F265" s="26">
        <f t="shared" si="12"/>
        <v>0</v>
      </c>
      <c r="G265" s="27">
        <f>IFERROR(SUMIFS('🔢 Simulador'!$F$8:$F$19, '🔢 Simulador'!$E$8:$E$19, B265),0)</f>
        <v>0</v>
      </c>
      <c r="H265" s="28">
        <f t="shared" si="13"/>
        <v>0</v>
      </c>
    </row>
    <row r="266" spans="2:8" x14ac:dyDescent="0.2">
      <c r="B266" s="23">
        <v>261</v>
      </c>
      <c r="C266" s="24">
        <f t="shared" si="14"/>
        <v>0</v>
      </c>
      <c r="D266" s="24">
        <f>IF(C266&lt;=0.01,0,IF('🔢 Simulador'!C13="REDUCIR PLAZO",MIN('🔢 Simulador'!C10, C266*(1+'🔢 Simulador'!C9)),MIN(IFERROR(PMT('🔢 Simulador'!C9,'🔢 Simulador'!C8-260,-C266),0), C266*(1+'🔢 Simulador'!C9))))</f>
        <v>0</v>
      </c>
      <c r="E266" s="25">
        <f>IF(C266&lt;=0.01,0,C266*'🔢 Simulador'!$C$9)</f>
        <v>0</v>
      </c>
      <c r="F266" s="26">
        <f t="shared" si="12"/>
        <v>0</v>
      </c>
      <c r="G266" s="27">
        <f>IFERROR(SUMIFS('🔢 Simulador'!$F$8:$F$19, '🔢 Simulador'!$E$8:$E$19, B266),0)</f>
        <v>0</v>
      </c>
      <c r="H266" s="28">
        <f t="shared" si="13"/>
        <v>0</v>
      </c>
    </row>
    <row r="267" spans="2:8" x14ac:dyDescent="0.2">
      <c r="B267" s="23">
        <v>262</v>
      </c>
      <c r="C267" s="24">
        <f t="shared" si="14"/>
        <v>0</v>
      </c>
      <c r="D267" s="24">
        <f>IF(C267&lt;=0.01,0,IF('🔢 Simulador'!C13="REDUCIR PLAZO",MIN('🔢 Simulador'!C10, C267*(1+'🔢 Simulador'!C9)),MIN(IFERROR(PMT('🔢 Simulador'!C9,'🔢 Simulador'!C8-261,-C267),0), C267*(1+'🔢 Simulador'!C9))))</f>
        <v>0</v>
      </c>
      <c r="E267" s="25">
        <f>IF(C267&lt;=0.01,0,C267*'🔢 Simulador'!$C$9)</f>
        <v>0</v>
      </c>
      <c r="F267" s="26">
        <f t="shared" si="12"/>
        <v>0</v>
      </c>
      <c r="G267" s="27">
        <f>IFERROR(SUMIFS('🔢 Simulador'!$F$8:$F$19, '🔢 Simulador'!$E$8:$E$19, B267),0)</f>
        <v>0</v>
      </c>
      <c r="H267" s="28">
        <f t="shared" si="13"/>
        <v>0</v>
      </c>
    </row>
    <row r="268" spans="2:8" x14ac:dyDescent="0.2">
      <c r="B268" s="23">
        <v>263</v>
      </c>
      <c r="C268" s="24">
        <f t="shared" si="14"/>
        <v>0</v>
      </c>
      <c r="D268" s="24">
        <f>IF(C268&lt;=0.01,0,IF('🔢 Simulador'!C13="REDUCIR PLAZO",MIN('🔢 Simulador'!C10, C268*(1+'🔢 Simulador'!C9)),MIN(IFERROR(PMT('🔢 Simulador'!C9,'🔢 Simulador'!C8-262,-C268),0), C268*(1+'🔢 Simulador'!C9))))</f>
        <v>0</v>
      </c>
      <c r="E268" s="25">
        <f>IF(C268&lt;=0.01,0,C268*'🔢 Simulador'!$C$9)</f>
        <v>0</v>
      </c>
      <c r="F268" s="26">
        <f t="shared" si="12"/>
        <v>0</v>
      </c>
      <c r="G268" s="27">
        <f>IFERROR(SUMIFS('🔢 Simulador'!$F$8:$F$19, '🔢 Simulador'!$E$8:$E$19, B268),0)</f>
        <v>0</v>
      </c>
      <c r="H268" s="28">
        <f t="shared" si="13"/>
        <v>0</v>
      </c>
    </row>
    <row r="269" spans="2:8" x14ac:dyDescent="0.2">
      <c r="B269" s="23">
        <v>264</v>
      </c>
      <c r="C269" s="24">
        <f t="shared" si="14"/>
        <v>0</v>
      </c>
      <c r="D269" s="24">
        <f>IF(C269&lt;=0.01,0,IF('🔢 Simulador'!C13="REDUCIR PLAZO",MIN('🔢 Simulador'!C10, C269*(1+'🔢 Simulador'!C9)),MIN(IFERROR(PMT('🔢 Simulador'!C9,'🔢 Simulador'!C8-263,-C269),0), C269*(1+'🔢 Simulador'!C9))))</f>
        <v>0</v>
      </c>
      <c r="E269" s="25">
        <f>IF(C269&lt;=0.01,0,C269*'🔢 Simulador'!$C$9)</f>
        <v>0</v>
      </c>
      <c r="F269" s="26">
        <f t="shared" si="12"/>
        <v>0</v>
      </c>
      <c r="G269" s="27">
        <f>IFERROR(SUMIFS('🔢 Simulador'!$F$8:$F$19, '🔢 Simulador'!$E$8:$E$19, B269),0)</f>
        <v>0</v>
      </c>
      <c r="H269" s="28">
        <f t="shared" si="13"/>
        <v>0</v>
      </c>
    </row>
    <row r="270" spans="2:8" x14ac:dyDescent="0.2">
      <c r="B270" s="23">
        <v>265</v>
      </c>
      <c r="C270" s="24">
        <f t="shared" si="14"/>
        <v>0</v>
      </c>
      <c r="D270" s="24">
        <f>IF(C270&lt;=0.01,0,IF('🔢 Simulador'!C13="REDUCIR PLAZO",MIN('🔢 Simulador'!C10, C270*(1+'🔢 Simulador'!C9)),MIN(IFERROR(PMT('🔢 Simulador'!C9,'🔢 Simulador'!C8-264,-C270),0), C270*(1+'🔢 Simulador'!C9))))</f>
        <v>0</v>
      </c>
      <c r="E270" s="25">
        <f>IF(C270&lt;=0.01,0,C270*'🔢 Simulador'!$C$9)</f>
        <v>0</v>
      </c>
      <c r="F270" s="26">
        <f t="shared" si="12"/>
        <v>0</v>
      </c>
      <c r="G270" s="27">
        <f>IFERROR(SUMIFS('🔢 Simulador'!$F$8:$F$19, '🔢 Simulador'!$E$8:$E$19, B270),0)</f>
        <v>0</v>
      </c>
      <c r="H270" s="28">
        <f t="shared" si="13"/>
        <v>0</v>
      </c>
    </row>
    <row r="271" spans="2:8" x14ac:dyDescent="0.2">
      <c r="B271" s="23">
        <v>266</v>
      </c>
      <c r="C271" s="24">
        <f t="shared" si="14"/>
        <v>0</v>
      </c>
      <c r="D271" s="24">
        <f>IF(C271&lt;=0.01,0,IF('🔢 Simulador'!C13="REDUCIR PLAZO",MIN('🔢 Simulador'!C10, C271*(1+'🔢 Simulador'!C9)),MIN(IFERROR(PMT('🔢 Simulador'!C9,'🔢 Simulador'!C8-265,-C271),0), C271*(1+'🔢 Simulador'!C9))))</f>
        <v>0</v>
      </c>
      <c r="E271" s="25">
        <f>IF(C271&lt;=0.01,0,C271*'🔢 Simulador'!$C$9)</f>
        <v>0</v>
      </c>
      <c r="F271" s="26">
        <f t="shared" si="12"/>
        <v>0</v>
      </c>
      <c r="G271" s="27">
        <f>IFERROR(SUMIFS('🔢 Simulador'!$F$8:$F$19, '🔢 Simulador'!$E$8:$E$19, B271),0)</f>
        <v>0</v>
      </c>
      <c r="H271" s="28">
        <f t="shared" si="13"/>
        <v>0</v>
      </c>
    </row>
    <row r="272" spans="2:8" x14ac:dyDescent="0.2">
      <c r="B272" s="23">
        <v>267</v>
      </c>
      <c r="C272" s="24">
        <f t="shared" si="14"/>
        <v>0</v>
      </c>
      <c r="D272" s="24">
        <f>IF(C272&lt;=0.01,0,IF('🔢 Simulador'!C13="REDUCIR PLAZO",MIN('🔢 Simulador'!C10, C272*(1+'🔢 Simulador'!C9)),MIN(IFERROR(PMT('🔢 Simulador'!C9,'🔢 Simulador'!C8-266,-C272),0), C272*(1+'🔢 Simulador'!C9))))</f>
        <v>0</v>
      </c>
      <c r="E272" s="25">
        <f>IF(C272&lt;=0.01,0,C272*'🔢 Simulador'!$C$9)</f>
        <v>0</v>
      </c>
      <c r="F272" s="26">
        <f t="shared" si="12"/>
        <v>0</v>
      </c>
      <c r="G272" s="27">
        <f>IFERROR(SUMIFS('🔢 Simulador'!$F$8:$F$19, '🔢 Simulador'!$E$8:$E$19, B272),0)</f>
        <v>0</v>
      </c>
      <c r="H272" s="28">
        <f t="shared" si="13"/>
        <v>0</v>
      </c>
    </row>
    <row r="273" spans="2:8" x14ac:dyDescent="0.2">
      <c r="B273" s="23">
        <v>268</v>
      </c>
      <c r="C273" s="24">
        <f t="shared" si="14"/>
        <v>0</v>
      </c>
      <c r="D273" s="24">
        <f>IF(C273&lt;=0.01,0,IF('🔢 Simulador'!C13="REDUCIR PLAZO",MIN('🔢 Simulador'!C10, C273*(1+'🔢 Simulador'!C9)),MIN(IFERROR(PMT('🔢 Simulador'!C9,'🔢 Simulador'!C8-267,-C273),0), C273*(1+'🔢 Simulador'!C9))))</f>
        <v>0</v>
      </c>
      <c r="E273" s="25">
        <f>IF(C273&lt;=0.01,0,C273*'🔢 Simulador'!$C$9)</f>
        <v>0</v>
      </c>
      <c r="F273" s="26">
        <f t="shared" si="12"/>
        <v>0</v>
      </c>
      <c r="G273" s="27">
        <f>IFERROR(SUMIFS('🔢 Simulador'!$F$8:$F$19, '🔢 Simulador'!$E$8:$E$19, B273),0)</f>
        <v>0</v>
      </c>
      <c r="H273" s="28">
        <f t="shared" si="13"/>
        <v>0</v>
      </c>
    </row>
    <row r="274" spans="2:8" x14ac:dyDescent="0.2">
      <c r="B274" s="23">
        <v>269</v>
      </c>
      <c r="C274" s="24">
        <f t="shared" si="14"/>
        <v>0</v>
      </c>
      <c r="D274" s="24">
        <f>IF(C274&lt;=0.01,0,IF('🔢 Simulador'!C13="REDUCIR PLAZO",MIN('🔢 Simulador'!C10, C274*(1+'🔢 Simulador'!C9)),MIN(IFERROR(PMT('🔢 Simulador'!C9,'🔢 Simulador'!C8-268,-C274),0), C274*(1+'🔢 Simulador'!C9))))</f>
        <v>0</v>
      </c>
      <c r="E274" s="25">
        <f>IF(C274&lt;=0.01,0,C274*'🔢 Simulador'!$C$9)</f>
        <v>0</v>
      </c>
      <c r="F274" s="26">
        <f t="shared" si="12"/>
        <v>0</v>
      </c>
      <c r="G274" s="27">
        <f>IFERROR(SUMIFS('🔢 Simulador'!$F$8:$F$19, '🔢 Simulador'!$E$8:$E$19, B274),0)</f>
        <v>0</v>
      </c>
      <c r="H274" s="28">
        <f t="shared" si="13"/>
        <v>0</v>
      </c>
    </row>
    <row r="275" spans="2:8" x14ac:dyDescent="0.2">
      <c r="B275" s="23">
        <v>270</v>
      </c>
      <c r="C275" s="24">
        <f t="shared" si="14"/>
        <v>0</v>
      </c>
      <c r="D275" s="24">
        <f>IF(C275&lt;=0.01,0,IF('🔢 Simulador'!C13="REDUCIR PLAZO",MIN('🔢 Simulador'!C10, C275*(1+'🔢 Simulador'!C9)),MIN(IFERROR(PMT('🔢 Simulador'!C9,'🔢 Simulador'!C8-269,-C275),0), C275*(1+'🔢 Simulador'!C9))))</f>
        <v>0</v>
      </c>
      <c r="E275" s="25">
        <f>IF(C275&lt;=0.01,0,C275*'🔢 Simulador'!$C$9)</f>
        <v>0</v>
      </c>
      <c r="F275" s="26">
        <f t="shared" si="12"/>
        <v>0</v>
      </c>
      <c r="G275" s="27">
        <f>IFERROR(SUMIFS('🔢 Simulador'!$F$8:$F$19, '🔢 Simulador'!$E$8:$E$19, B275),0)</f>
        <v>0</v>
      </c>
      <c r="H275" s="28">
        <f t="shared" si="13"/>
        <v>0</v>
      </c>
    </row>
    <row r="276" spans="2:8" x14ac:dyDescent="0.2">
      <c r="B276" s="23">
        <v>271</v>
      </c>
      <c r="C276" s="24">
        <f t="shared" si="14"/>
        <v>0</v>
      </c>
      <c r="D276" s="24">
        <f>IF(C276&lt;=0.01,0,IF('🔢 Simulador'!C13="REDUCIR PLAZO",MIN('🔢 Simulador'!C10, C276*(1+'🔢 Simulador'!C9)),MIN(IFERROR(PMT('🔢 Simulador'!C9,'🔢 Simulador'!C8-270,-C276),0), C276*(1+'🔢 Simulador'!C9))))</f>
        <v>0</v>
      </c>
      <c r="E276" s="25">
        <f>IF(C276&lt;=0.01,0,C276*'🔢 Simulador'!$C$9)</f>
        <v>0</v>
      </c>
      <c r="F276" s="26">
        <f t="shared" si="12"/>
        <v>0</v>
      </c>
      <c r="G276" s="27">
        <f>IFERROR(SUMIFS('🔢 Simulador'!$F$8:$F$19, '🔢 Simulador'!$E$8:$E$19, B276),0)</f>
        <v>0</v>
      </c>
      <c r="H276" s="28">
        <f t="shared" si="13"/>
        <v>0</v>
      </c>
    </row>
    <row r="277" spans="2:8" x14ac:dyDescent="0.2">
      <c r="B277" s="23">
        <v>272</v>
      </c>
      <c r="C277" s="24">
        <f t="shared" si="14"/>
        <v>0</v>
      </c>
      <c r="D277" s="24">
        <f>IF(C277&lt;=0.01,0,IF('🔢 Simulador'!C13="REDUCIR PLAZO",MIN('🔢 Simulador'!C10, C277*(1+'🔢 Simulador'!C9)),MIN(IFERROR(PMT('🔢 Simulador'!C9,'🔢 Simulador'!C8-271,-C277),0), C277*(1+'🔢 Simulador'!C9))))</f>
        <v>0</v>
      </c>
      <c r="E277" s="25">
        <f>IF(C277&lt;=0.01,0,C277*'🔢 Simulador'!$C$9)</f>
        <v>0</v>
      </c>
      <c r="F277" s="26">
        <f t="shared" si="12"/>
        <v>0</v>
      </c>
      <c r="G277" s="27">
        <f>IFERROR(SUMIFS('🔢 Simulador'!$F$8:$F$19, '🔢 Simulador'!$E$8:$E$19, B277),0)</f>
        <v>0</v>
      </c>
      <c r="H277" s="28">
        <f t="shared" si="13"/>
        <v>0</v>
      </c>
    </row>
    <row r="278" spans="2:8" x14ac:dyDescent="0.2">
      <c r="B278" s="23">
        <v>273</v>
      </c>
      <c r="C278" s="24">
        <f t="shared" si="14"/>
        <v>0</v>
      </c>
      <c r="D278" s="24">
        <f>IF(C278&lt;=0.01,0,IF('🔢 Simulador'!C13="REDUCIR PLAZO",MIN('🔢 Simulador'!C10, C278*(1+'🔢 Simulador'!C9)),MIN(IFERROR(PMT('🔢 Simulador'!C9,'🔢 Simulador'!C8-272,-C278),0), C278*(1+'🔢 Simulador'!C9))))</f>
        <v>0</v>
      </c>
      <c r="E278" s="25">
        <f>IF(C278&lt;=0.01,0,C278*'🔢 Simulador'!$C$9)</f>
        <v>0</v>
      </c>
      <c r="F278" s="26">
        <f t="shared" si="12"/>
        <v>0</v>
      </c>
      <c r="G278" s="27">
        <f>IFERROR(SUMIFS('🔢 Simulador'!$F$8:$F$19, '🔢 Simulador'!$E$8:$E$19, B278),0)</f>
        <v>0</v>
      </c>
      <c r="H278" s="28">
        <f t="shared" si="13"/>
        <v>0</v>
      </c>
    </row>
    <row r="279" spans="2:8" x14ac:dyDescent="0.2">
      <c r="B279" s="23">
        <v>274</v>
      </c>
      <c r="C279" s="24">
        <f t="shared" si="14"/>
        <v>0</v>
      </c>
      <c r="D279" s="24">
        <f>IF(C279&lt;=0.01,0,IF('🔢 Simulador'!C13="REDUCIR PLAZO",MIN('🔢 Simulador'!C10, C279*(1+'🔢 Simulador'!C9)),MIN(IFERROR(PMT('🔢 Simulador'!C9,'🔢 Simulador'!C8-273,-C279),0), C279*(1+'🔢 Simulador'!C9))))</f>
        <v>0</v>
      </c>
      <c r="E279" s="25">
        <f>IF(C279&lt;=0.01,0,C279*'🔢 Simulador'!$C$9)</f>
        <v>0</v>
      </c>
      <c r="F279" s="26">
        <f t="shared" si="12"/>
        <v>0</v>
      </c>
      <c r="G279" s="27">
        <f>IFERROR(SUMIFS('🔢 Simulador'!$F$8:$F$19, '🔢 Simulador'!$E$8:$E$19, B279),0)</f>
        <v>0</v>
      </c>
      <c r="H279" s="28">
        <f t="shared" si="13"/>
        <v>0</v>
      </c>
    </row>
    <row r="280" spans="2:8" x14ac:dyDescent="0.2">
      <c r="B280" s="23">
        <v>275</v>
      </c>
      <c r="C280" s="24">
        <f t="shared" si="14"/>
        <v>0</v>
      </c>
      <c r="D280" s="24">
        <f>IF(C280&lt;=0.01,0,IF('🔢 Simulador'!C13="REDUCIR PLAZO",MIN('🔢 Simulador'!C10, C280*(1+'🔢 Simulador'!C9)),MIN(IFERROR(PMT('🔢 Simulador'!C9,'🔢 Simulador'!C8-274,-C280),0), C280*(1+'🔢 Simulador'!C9))))</f>
        <v>0</v>
      </c>
      <c r="E280" s="25">
        <f>IF(C280&lt;=0.01,0,C280*'🔢 Simulador'!$C$9)</f>
        <v>0</v>
      </c>
      <c r="F280" s="26">
        <f t="shared" si="12"/>
        <v>0</v>
      </c>
      <c r="G280" s="27">
        <f>IFERROR(SUMIFS('🔢 Simulador'!$F$8:$F$19, '🔢 Simulador'!$E$8:$E$19, B280),0)</f>
        <v>0</v>
      </c>
      <c r="H280" s="28">
        <f t="shared" si="13"/>
        <v>0</v>
      </c>
    </row>
    <row r="281" spans="2:8" x14ac:dyDescent="0.2">
      <c r="B281" s="23">
        <v>276</v>
      </c>
      <c r="C281" s="24">
        <f t="shared" si="14"/>
        <v>0</v>
      </c>
      <c r="D281" s="24">
        <f>IF(C281&lt;=0.01,0,IF('🔢 Simulador'!C13="REDUCIR PLAZO",MIN('🔢 Simulador'!C10, C281*(1+'🔢 Simulador'!C9)),MIN(IFERROR(PMT('🔢 Simulador'!C9,'🔢 Simulador'!C8-275,-C281),0), C281*(1+'🔢 Simulador'!C9))))</f>
        <v>0</v>
      </c>
      <c r="E281" s="25">
        <f>IF(C281&lt;=0.01,0,C281*'🔢 Simulador'!$C$9)</f>
        <v>0</v>
      </c>
      <c r="F281" s="26">
        <f t="shared" si="12"/>
        <v>0</v>
      </c>
      <c r="G281" s="27">
        <f>IFERROR(SUMIFS('🔢 Simulador'!$F$8:$F$19, '🔢 Simulador'!$E$8:$E$19, B281),0)</f>
        <v>0</v>
      </c>
      <c r="H281" s="28">
        <f t="shared" si="13"/>
        <v>0</v>
      </c>
    </row>
    <row r="282" spans="2:8" x14ac:dyDescent="0.2">
      <c r="B282" s="23">
        <v>277</v>
      </c>
      <c r="C282" s="24">
        <f t="shared" si="14"/>
        <v>0</v>
      </c>
      <c r="D282" s="24">
        <f>IF(C282&lt;=0.01,0,IF('🔢 Simulador'!C13="REDUCIR PLAZO",MIN('🔢 Simulador'!C10, C282*(1+'🔢 Simulador'!C9)),MIN(IFERROR(PMT('🔢 Simulador'!C9,'🔢 Simulador'!C8-276,-C282),0), C282*(1+'🔢 Simulador'!C9))))</f>
        <v>0</v>
      </c>
      <c r="E282" s="25">
        <f>IF(C282&lt;=0.01,0,C282*'🔢 Simulador'!$C$9)</f>
        <v>0</v>
      </c>
      <c r="F282" s="26">
        <f t="shared" si="12"/>
        <v>0</v>
      </c>
      <c r="G282" s="27">
        <f>IFERROR(SUMIFS('🔢 Simulador'!$F$8:$F$19, '🔢 Simulador'!$E$8:$E$19, B282),0)</f>
        <v>0</v>
      </c>
      <c r="H282" s="28">
        <f t="shared" si="13"/>
        <v>0</v>
      </c>
    </row>
    <row r="283" spans="2:8" x14ac:dyDescent="0.2">
      <c r="B283" s="23">
        <v>278</v>
      </c>
      <c r="C283" s="24">
        <f t="shared" si="14"/>
        <v>0</v>
      </c>
      <c r="D283" s="24">
        <f>IF(C283&lt;=0.01,0,IF('🔢 Simulador'!C13="REDUCIR PLAZO",MIN('🔢 Simulador'!C10, C283*(1+'🔢 Simulador'!C9)),MIN(IFERROR(PMT('🔢 Simulador'!C9,'🔢 Simulador'!C8-277,-C283),0), C283*(1+'🔢 Simulador'!C9))))</f>
        <v>0</v>
      </c>
      <c r="E283" s="25">
        <f>IF(C283&lt;=0.01,0,C283*'🔢 Simulador'!$C$9)</f>
        <v>0</v>
      </c>
      <c r="F283" s="26">
        <f t="shared" si="12"/>
        <v>0</v>
      </c>
      <c r="G283" s="27">
        <f>IFERROR(SUMIFS('🔢 Simulador'!$F$8:$F$19, '🔢 Simulador'!$E$8:$E$19, B283),0)</f>
        <v>0</v>
      </c>
      <c r="H283" s="28">
        <f t="shared" si="13"/>
        <v>0</v>
      </c>
    </row>
    <row r="284" spans="2:8" x14ac:dyDescent="0.2">
      <c r="B284" s="23">
        <v>279</v>
      </c>
      <c r="C284" s="24">
        <f t="shared" si="14"/>
        <v>0</v>
      </c>
      <c r="D284" s="24">
        <f>IF(C284&lt;=0.01,0,IF('🔢 Simulador'!C13="REDUCIR PLAZO",MIN('🔢 Simulador'!C10, C284*(1+'🔢 Simulador'!C9)),MIN(IFERROR(PMT('🔢 Simulador'!C9,'🔢 Simulador'!C8-278,-C284),0), C284*(1+'🔢 Simulador'!C9))))</f>
        <v>0</v>
      </c>
      <c r="E284" s="25">
        <f>IF(C284&lt;=0.01,0,C284*'🔢 Simulador'!$C$9)</f>
        <v>0</v>
      </c>
      <c r="F284" s="26">
        <f t="shared" si="12"/>
        <v>0</v>
      </c>
      <c r="G284" s="27">
        <f>IFERROR(SUMIFS('🔢 Simulador'!$F$8:$F$19, '🔢 Simulador'!$E$8:$E$19, B284),0)</f>
        <v>0</v>
      </c>
      <c r="H284" s="28">
        <f t="shared" si="13"/>
        <v>0</v>
      </c>
    </row>
    <row r="285" spans="2:8" x14ac:dyDescent="0.2">
      <c r="B285" s="23">
        <v>280</v>
      </c>
      <c r="C285" s="24">
        <f t="shared" si="14"/>
        <v>0</v>
      </c>
      <c r="D285" s="24">
        <f>IF(C285&lt;=0.01,0,IF('🔢 Simulador'!C13="REDUCIR PLAZO",MIN('🔢 Simulador'!C10, C285*(1+'🔢 Simulador'!C9)),MIN(IFERROR(PMT('🔢 Simulador'!C9,'🔢 Simulador'!C8-279,-C285),0), C285*(1+'🔢 Simulador'!C9))))</f>
        <v>0</v>
      </c>
      <c r="E285" s="25">
        <f>IF(C285&lt;=0.01,0,C285*'🔢 Simulador'!$C$9)</f>
        <v>0</v>
      </c>
      <c r="F285" s="26">
        <f t="shared" si="12"/>
        <v>0</v>
      </c>
      <c r="G285" s="27">
        <f>IFERROR(SUMIFS('🔢 Simulador'!$F$8:$F$19, '🔢 Simulador'!$E$8:$E$19, B285),0)</f>
        <v>0</v>
      </c>
      <c r="H285" s="28">
        <f t="shared" si="13"/>
        <v>0</v>
      </c>
    </row>
    <row r="286" spans="2:8" x14ac:dyDescent="0.2">
      <c r="B286" s="23">
        <v>281</v>
      </c>
      <c r="C286" s="24">
        <f t="shared" si="14"/>
        <v>0</v>
      </c>
      <c r="D286" s="24">
        <f>IF(C286&lt;=0.01,0,IF('🔢 Simulador'!C13="REDUCIR PLAZO",MIN('🔢 Simulador'!C10, C286*(1+'🔢 Simulador'!C9)),MIN(IFERROR(PMT('🔢 Simulador'!C9,'🔢 Simulador'!C8-280,-C286),0), C286*(1+'🔢 Simulador'!C9))))</f>
        <v>0</v>
      </c>
      <c r="E286" s="25">
        <f>IF(C286&lt;=0.01,0,C286*'🔢 Simulador'!$C$9)</f>
        <v>0</v>
      </c>
      <c r="F286" s="26">
        <f t="shared" si="12"/>
        <v>0</v>
      </c>
      <c r="G286" s="27">
        <f>IFERROR(SUMIFS('🔢 Simulador'!$F$8:$F$19, '🔢 Simulador'!$E$8:$E$19, B286),0)</f>
        <v>0</v>
      </c>
      <c r="H286" s="28">
        <f t="shared" si="13"/>
        <v>0</v>
      </c>
    </row>
    <row r="287" spans="2:8" x14ac:dyDescent="0.2">
      <c r="B287" s="23">
        <v>282</v>
      </c>
      <c r="C287" s="24">
        <f t="shared" si="14"/>
        <v>0</v>
      </c>
      <c r="D287" s="24">
        <f>IF(C287&lt;=0.01,0,IF('🔢 Simulador'!C13="REDUCIR PLAZO",MIN('🔢 Simulador'!C10, C287*(1+'🔢 Simulador'!C9)),MIN(IFERROR(PMT('🔢 Simulador'!C9,'🔢 Simulador'!C8-281,-C287),0), C287*(1+'🔢 Simulador'!C9))))</f>
        <v>0</v>
      </c>
      <c r="E287" s="25">
        <f>IF(C287&lt;=0.01,0,C287*'🔢 Simulador'!$C$9)</f>
        <v>0</v>
      </c>
      <c r="F287" s="26">
        <f t="shared" si="12"/>
        <v>0</v>
      </c>
      <c r="G287" s="27">
        <f>IFERROR(SUMIFS('🔢 Simulador'!$F$8:$F$19, '🔢 Simulador'!$E$8:$E$19, B287),0)</f>
        <v>0</v>
      </c>
      <c r="H287" s="28">
        <f t="shared" si="13"/>
        <v>0</v>
      </c>
    </row>
    <row r="288" spans="2:8" x14ac:dyDescent="0.2">
      <c r="B288" s="23">
        <v>283</v>
      </c>
      <c r="C288" s="24">
        <f t="shared" si="14"/>
        <v>0</v>
      </c>
      <c r="D288" s="24">
        <f>IF(C288&lt;=0.01,0,IF('🔢 Simulador'!C13="REDUCIR PLAZO",MIN('🔢 Simulador'!C10, C288*(1+'🔢 Simulador'!C9)),MIN(IFERROR(PMT('🔢 Simulador'!C9,'🔢 Simulador'!C8-282,-C288),0), C288*(1+'🔢 Simulador'!C9))))</f>
        <v>0</v>
      </c>
      <c r="E288" s="25">
        <f>IF(C288&lt;=0.01,0,C288*'🔢 Simulador'!$C$9)</f>
        <v>0</v>
      </c>
      <c r="F288" s="26">
        <f t="shared" si="12"/>
        <v>0</v>
      </c>
      <c r="G288" s="27">
        <f>IFERROR(SUMIFS('🔢 Simulador'!$F$8:$F$19, '🔢 Simulador'!$E$8:$E$19, B288),0)</f>
        <v>0</v>
      </c>
      <c r="H288" s="28">
        <f t="shared" si="13"/>
        <v>0</v>
      </c>
    </row>
    <row r="289" spans="2:8" x14ac:dyDescent="0.2">
      <c r="B289" s="23">
        <v>284</v>
      </c>
      <c r="C289" s="24">
        <f t="shared" si="14"/>
        <v>0</v>
      </c>
      <c r="D289" s="24">
        <f>IF(C289&lt;=0.01,0,IF('🔢 Simulador'!C13="REDUCIR PLAZO",MIN('🔢 Simulador'!C10, C289*(1+'🔢 Simulador'!C9)),MIN(IFERROR(PMT('🔢 Simulador'!C9,'🔢 Simulador'!C8-283,-C289),0), C289*(1+'🔢 Simulador'!C9))))</f>
        <v>0</v>
      </c>
      <c r="E289" s="25">
        <f>IF(C289&lt;=0.01,0,C289*'🔢 Simulador'!$C$9)</f>
        <v>0</v>
      </c>
      <c r="F289" s="26">
        <f t="shared" si="12"/>
        <v>0</v>
      </c>
      <c r="G289" s="27">
        <f>IFERROR(SUMIFS('🔢 Simulador'!$F$8:$F$19, '🔢 Simulador'!$E$8:$E$19, B289),0)</f>
        <v>0</v>
      </c>
      <c r="H289" s="28">
        <f t="shared" si="13"/>
        <v>0</v>
      </c>
    </row>
    <row r="290" spans="2:8" x14ac:dyDescent="0.2">
      <c r="B290" s="23">
        <v>285</v>
      </c>
      <c r="C290" s="24">
        <f t="shared" si="14"/>
        <v>0</v>
      </c>
      <c r="D290" s="24">
        <f>IF(C290&lt;=0.01,0,IF('🔢 Simulador'!C13="REDUCIR PLAZO",MIN('🔢 Simulador'!C10, C290*(1+'🔢 Simulador'!C9)),MIN(IFERROR(PMT('🔢 Simulador'!C9,'🔢 Simulador'!C8-284,-C290),0), C290*(1+'🔢 Simulador'!C9))))</f>
        <v>0</v>
      </c>
      <c r="E290" s="25">
        <f>IF(C290&lt;=0.01,0,C290*'🔢 Simulador'!$C$9)</f>
        <v>0</v>
      </c>
      <c r="F290" s="26">
        <f t="shared" si="12"/>
        <v>0</v>
      </c>
      <c r="G290" s="27">
        <f>IFERROR(SUMIFS('🔢 Simulador'!$F$8:$F$19, '🔢 Simulador'!$E$8:$E$19, B290),0)</f>
        <v>0</v>
      </c>
      <c r="H290" s="28">
        <f t="shared" si="13"/>
        <v>0</v>
      </c>
    </row>
    <row r="291" spans="2:8" x14ac:dyDescent="0.2">
      <c r="B291" s="23">
        <v>286</v>
      </c>
      <c r="C291" s="24">
        <f t="shared" si="14"/>
        <v>0</v>
      </c>
      <c r="D291" s="24">
        <f>IF(C291&lt;=0.01,0,IF('🔢 Simulador'!C13="REDUCIR PLAZO",MIN('🔢 Simulador'!C10, C291*(1+'🔢 Simulador'!C9)),MIN(IFERROR(PMT('🔢 Simulador'!C9,'🔢 Simulador'!C8-285,-C291),0), C291*(1+'🔢 Simulador'!C9))))</f>
        <v>0</v>
      </c>
      <c r="E291" s="25">
        <f>IF(C291&lt;=0.01,0,C291*'🔢 Simulador'!$C$9)</f>
        <v>0</v>
      </c>
      <c r="F291" s="26">
        <f t="shared" si="12"/>
        <v>0</v>
      </c>
      <c r="G291" s="27">
        <f>IFERROR(SUMIFS('🔢 Simulador'!$F$8:$F$19, '🔢 Simulador'!$E$8:$E$19, B291),0)</f>
        <v>0</v>
      </c>
      <c r="H291" s="28">
        <f t="shared" si="13"/>
        <v>0</v>
      </c>
    </row>
    <row r="292" spans="2:8" x14ac:dyDescent="0.2">
      <c r="B292" s="23">
        <v>287</v>
      </c>
      <c r="C292" s="24">
        <f t="shared" si="14"/>
        <v>0</v>
      </c>
      <c r="D292" s="24">
        <f>IF(C292&lt;=0.01,0,IF('🔢 Simulador'!C13="REDUCIR PLAZO",MIN('🔢 Simulador'!C10, C292*(1+'🔢 Simulador'!C9)),MIN(IFERROR(PMT('🔢 Simulador'!C9,'🔢 Simulador'!C8-286,-C292),0), C292*(1+'🔢 Simulador'!C9))))</f>
        <v>0</v>
      </c>
      <c r="E292" s="25">
        <f>IF(C292&lt;=0.01,0,C292*'🔢 Simulador'!$C$9)</f>
        <v>0</v>
      </c>
      <c r="F292" s="26">
        <f t="shared" si="12"/>
        <v>0</v>
      </c>
      <c r="G292" s="27">
        <f>IFERROR(SUMIFS('🔢 Simulador'!$F$8:$F$19, '🔢 Simulador'!$E$8:$E$19, B292),0)</f>
        <v>0</v>
      </c>
      <c r="H292" s="28">
        <f t="shared" si="13"/>
        <v>0</v>
      </c>
    </row>
    <row r="293" spans="2:8" x14ac:dyDescent="0.2">
      <c r="B293" s="23">
        <v>288</v>
      </c>
      <c r="C293" s="24">
        <f t="shared" si="14"/>
        <v>0</v>
      </c>
      <c r="D293" s="24">
        <f>IF(C293&lt;=0.01,0,IF('🔢 Simulador'!C13="REDUCIR PLAZO",MIN('🔢 Simulador'!C10, C293*(1+'🔢 Simulador'!C9)),MIN(IFERROR(PMT('🔢 Simulador'!C9,'🔢 Simulador'!C8-287,-C293),0), C293*(1+'🔢 Simulador'!C9))))</f>
        <v>0</v>
      </c>
      <c r="E293" s="25">
        <f>IF(C293&lt;=0.01,0,C293*'🔢 Simulador'!$C$9)</f>
        <v>0</v>
      </c>
      <c r="F293" s="26">
        <f t="shared" si="12"/>
        <v>0</v>
      </c>
      <c r="G293" s="27">
        <f>IFERROR(SUMIFS('🔢 Simulador'!$F$8:$F$19, '🔢 Simulador'!$E$8:$E$19, B293),0)</f>
        <v>0</v>
      </c>
      <c r="H293" s="28">
        <f t="shared" si="13"/>
        <v>0</v>
      </c>
    </row>
    <row r="294" spans="2:8" x14ac:dyDescent="0.2">
      <c r="B294" s="23">
        <v>289</v>
      </c>
      <c r="C294" s="24">
        <f t="shared" si="14"/>
        <v>0</v>
      </c>
      <c r="D294" s="24">
        <f>IF(C294&lt;=0.01,0,IF('🔢 Simulador'!C13="REDUCIR PLAZO",MIN('🔢 Simulador'!C10, C294*(1+'🔢 Simulador'!C9)),MIN(IFERROR(PMT('🔢 Simulador'!C9,'🔢 Simulador'!C8-288,-C294),0), C294*(1+'🔢 Simulador'!C9))))</f>
        <v>0</v>
      </c>
      <c r="E294" s="25">
        <f>IF(C294&lt;=0.01,0,C294*'🔢 Simulador'!$C$9)</f>
        <v>0</v>
      </c>
      <c r="F294" s="26">
        <f t="shared" si="12"/>
        <v>0</v>
      </c>
      <c r="G294" s="27">
        <f>IFERROR(SUMIFS('🔢 Simulador'!$F$8:$F$19, '🔢 Simulador'!$E$8:$E$19, B294),0)</f>
        <v>0</v>
      </c>
      <c r="H294" s="28">
        <f t="shared" si="13"/>
        <v>0</v>
      </c>
    </row>
    <row r="295" spans="2:8" x14ac:dyDescent="0.2">
      <c r="B295" s="23">
        <v>290</v>
      </c>
      <c r="C295" s="24">
        <f t="shared" si="14"/>
        <v>0</v>
      </c>
      <c r="D295" s="24">
        <f>IF(C295&lt;=0.01,0,IF('🔢 Simulador'!C13="REDUCIR PLAZO",MIN('🔢 Simulador'!C10, C295*(1+'🔢 Simulador'!C9)),MIN(IFERROR(PMT('🔢 Simulador'!C9,'🔢 Simulador'!C8-289,-C295),0), C295*(1+'🔢 Simulador'!C9))))</f>
        <v>0</v>
      </c>
      <c r="E295" s="25">
        <f>IF(C295&lt;=0.01,0,C295*'🔢 Simulador'!$C$9)</f>
        <v>0</v>
      </c>
      <c r="F295" s="26">
        <f t="shared" si="12"/>
        <v>0</v>
      </c>
      <c r="G295" s="27">
        <f>IFERROR(SUMIFS('🔢 Simulador'!$F$8:$F$19, '🔢 Simulador'!$E$8:$E$19, B295),0)</f>
        <v>0</v>
      </c>
      <c r="H295" s="28">
        <f t="shared" si="13"/>
        <v>0</v>
      </c>
    </row>
    <row r="296" spans="2:8" x14ac:dyDescent="0.2">
      <c r="B296" s="23">
        <v>291</v>
      </c>
      <c r="C296" s="24">
        <f t="shared" si="14"/>
        <v>0</v>
      </c>
      <c r="D296" s="24">
        <f>IF(C296&lt;=0.01,0,IF('🔢 Simulador'!C13="REDUCIR PLAZO",MIN('🔢 Simulador'!C10, C296*(1+'🔢 Simulador'!C9)),MIN(IFERROR(PMT('🔢 Simulador'!C9,'🔢 Simulador'!C8-290,-C296),0), C296*(1+'🔢 Simulador'!C9))))</f>
        <v>0</v>
      </c>
      <c r="E296" s="25">
        <f>IF(C296&lt;=0.01,0,C296*'🔢 Simulador'!$C$9)</f>
        <v>0</v>
      </c>
      <c r="F296" s="26">
        <f t="shared" si="12"/>
        <v>0</v>
      </c>
      <c r="G296" s="27">
        <f>IFERROR(SUMIFS('🔢 Simulador'!$F$8:$F$19, '🔢 Simulador'!$E$8:$E$19, B296),0)</f>
        <v>0</v>
      </c>
      <c r="H296" s="28">
        <f t="shared" si="13"/>
        <v>0</v>
      </c>
    </row>
    <row r="297" spans="2:8" x14ac:dyDescent="0.2">
      <c r="B297" s="23">
        <v>292</v>
      </c>
      <c r="C297" s="24">
        <f t="shared" si="14"/>
        <v>0</v>
      </c>
      <c r="D297" s="24">
        <f>IF(C297&lt;=0.01,0,IF('🔢 Simulador'!C13="REDUCIR PLAZO",MIN('🔢 Simulador'!C10, C297*(1+'🔢 Simulador'!C9)),MIN(IFERROR(PMT('🔢 Simulador'!C9,'🔢 Simulador'!C8-291,-C297),0), C297*(1+'🔢 Simulador'!C9))))</f>
        <v>0</v>
      </c>
      <c r="E297" s="25">
        <f>IF(C297&lt;=0.01,0,C297*'🔢 Simulador'!$C$9)</f>
        <v>0</v>
      </c>
      <c r="F297" s="26">
        <f t="shared" si="12"/>
        <v>0</v>
      </c>
      <c r="G297" s="27">
        <f>IFERROR(SUMIFS('🔢 Simulador'!$F$8:$F$19, '🔢 Simulador'!$E$8:$E$19, B297),0)</f>
        <v>0</v>
      </c>
      <c r="H297" s="28">
        <f t="shared" si="13"/>
        <v>0</v>
      </c>
    </row>
    <row r="298" spans="2:8" x14ac:dyDescent="0.2">
      <c r="B298" s="23">
        <v>293</v>
      </c>
      <c r="C298" s="24">
        <f t="shared" si="14"/>
        <v>0</v>
      </c>
      <c r="D298" s="24">
        <f>IF(C298&lt;=0.01,0,IF('🔢 Simulador'!C13="REDUCIR PLAZO",MIN('🔢 Simulador'!C10, C298*(1+'🔢 Simulador'!C9)),MIN(IFERROR(PMT('🔢 Simulador'!C9,'🔢 Simulador'!C8-292,-C298),0), C298*(1+'🔢 Simulador'!C9))))</f>
        <v>0</v>
      </c>
      <c r="E298" s="25">
        <f>IF(C298&lt;=0.01,0,C298*'🔢 Simulador'!$C$9)</f>
        <v>0</v>
      </c>
      <c r="F298" s="26">
        <f t="shared" si="12"/>
        <v>0</v>
      </c>
      <c r="G298" s="27">
        <f>IFERROR(SUMIFS('🔢 Simulador'!$F$8:$F$19, '🔢 Simulador'!$E$8:$E$19, B298),0)</f>
        <v>0</v>
      </c>
      <c r="H298" s="28">
        <f t="shared" si="13"/>
        <v>0</v>
      </c>
    </row>
    <row r="299" spans="2:8" x14ac:dyDescent="0.2">
      <c r="B299" s="23">
        <v>294</v>
      </c>
      <c r="C299" s="24">
        <f t="shared" si="14"/>
        <v>0</v>
      </c>
      <c r="D299" s="24">
        <f>IF(C299&lt;=0.01,0,IF('🔢 Simulador'!C13="REDUCIR PLAZO",MIN('🔢 Simulador'!C10, C299*(1+'🔢 Simulador'!C9)),MIN(IFERROR(PMT('🔢 Simulador'!C9,'🔢 Simulador'!C8-293,-C299),0), C299*(1+'🔢 Simulador'!C9))))</f>
        <v>0</v>
      </c>
      <c r="E299" s="25">
        <f>IF(C299&lt;=0.01,0,C299*'🔢 Simulador'!$C$9)</f>
        <v>0</v>
      </c>
      <c r="F299" s="26">
        <f t="shared" si="12"/>
        <v>0</v>
      </c>
      <c r="G299" s="27">
        <f>IFERROR(SUMIFS('🔢 Simulador'!$F$8:$F$19, '🔢 Simulador'!$E$8:$E$19, B299),0)</f>
        <v>0</v>
      </c>
      <c r="H299" s="28">
        <f t="shared" si="13"/>
        <v>0</v>
      </c>
    </row>
    <row r="300" spans="2:8" x14ac:dyDescent="0.2">
      <c r="B300" s="23">
        <v>295</v>
      </c>
      <c r="C300" s="24">
        <f t="shared" si="14"/>
        <v>0</v>
      </c>
      <c r="D300" s="24">
        <f>IF(C300&lt;=0.01,0,IF('🔢 Simulador'!C13="REDUCIR PLAZO",MIN('🔢 Simulador'!C10, C300*(1+'🔢 Simulador'!C9)),MIN(IFERROR(PMT('🔢 Simulador'!C9,'🔢 Simulador'!C8-294,-C300),0), C300*(1+'🔢 Simulador'!C9))))</f>
        <v>0</v>
      </c>
      <c r="E300" s="25">
        <f>IF(C300&lt;=0.01,0,C300*'🔢 Simulador'!$C$9)</f>
        <v>0</v>
      </c>
      <c r="F300" s="26">
        <f t="shared" si="12"/>
        <v>0</v>
      </c>
      <c r="G300" s="27">
        <f>IFERROR(SUMIFS('🔢 Simulador'!$F$8:$F$19, '🔢 Simulador'!$E$8:$E$19, B300),0)</f>
        <v>0</v>
      </c>
      <c r="H300" s="28">
        <f t="shared" si="13"/>
        <v>0</v>
      </c>
    </row>
    <row r="301" spans="2:8" x14ac:dyDescent="0.2">
      <c r="B301" s="23">
        <v>296</v>
      </c>
      <c r="C301" s="24">
        <f t="shared" si="14"/>
        <v>0</v>
      </c>
      <c r="D301" s="24">
        <f>IF(C301&lt;=0.01,0,IF('🔢 Simulador'!C13="REDUCIR PLAZO",MIN('🔢 Simulador'!C10, C301*(1+'🔢 Simulador'!C9)),MIN(IFERROR(PMT('🔢 Simulador'!C9,'🔢 Simulador'!C8-295,-C301),0), C301*(1+'🔢 Simulador'!C9))))</f>
        <v>0</v>
      </c>
      <c r="E301" s="25">
        <f>IF(C301&lt;=0.01,0,C301*'🔢 Simulador'!$C$9)</f>
        <v>0</v>
      </c>
      <c r="F301" s="26">
        <f t="shared" si="12"/>
        <v>0</v>
      </c>
      <c r="G301" s="27">
        <f>IFERROR(SUMIFS('🔢 Simulador'!$F$8:$F$19, '🔢 Simulador'!$E$8:$E$19, B301),0)</f>
        <v>0</v>
      </c>
      <c r="H301" s="28">
        <f t="shared" si="13"/>
        <v>0</v>
      </c>
    </row>
    <row r="302" spans="2:8" x14ac:dyDescent="0.2">
      <c r="B302" s="23">
        <v>297</v>
      </c>
      <c r="C302" s="24">
        <f t="shared" si="14"/>
        <v>0</v>
      </c>
      <c r="D302" s="24">
        <f>IF(C302&lt;=0.01,0,IF('🔢 Simulador'!C13="REDUCIR PLAZO",MIN('🔢 Simulador'!C10, C302*(1+'🔢 Simulador'!C9)),MIN(IFERROR(PMT('🔢 Simulador'!C9,'🔢 Simulador'!C8-296,-C302),0), C302*(1+'🔢 Simulador'!C9))))</f>
        <v>0</v>
      </c>
      <c r="E302" s="25">
        <f>IF(C302&lt;=0.01,0,C302*'🔢 Simulador'!$C$9)</f>
        <v>0</v>
      </c>
      <c r="F302" s="26">
        <f t="shared" si="12"/>
        <v>0</v>
      </c>
      <c r="G302" s="27">
        <f>IFERROR(SUMIFS('🔢 Simulador'!$F$8:$F$19, '🔢 Simulador'!$E$8:$E$19, B302),0)</f>
        <v>0</v>
      </c>
      <c r="H302" s="28">
        <f t="shared" si="13"/>
        <v>0</v>
      </c>
    </row>
    <row r="303" spans="2:8" x14ac:dyDescent="0.2">
      <c r="B303" s="23">
        <v>298</v>
      </c>
      <c r="C303" s="24">
        <f t="shared" si="14"/>
        <v>0</v>
      </c>
      <c r="D303" s="24">
        <f>IF(C303&lt;=0.01,0,IF('🔢 Simulador'!C13="REDUCIR PLAZO",MIN('🔢 Simulador'!C10, C303*(1+'🔢 Simulador'!C9)),MIN(IFERROR(PMT('🔢 Simulador'!C9,'🔢 Simulador'!C8-297,-C303),0), C303*(1+'🔢 Simulador'!C9))))</f>
        <v>0</v>
      </c>
      <c r="E303" s="25">
        <f>IF(C303&lt;=0.01,0,C303*'🔢 Simulador'!$C$9)</f>
        <v>0</v>
      </c>
      <c r="F303" s="26">
        <f t="shared" si="12"/>
        <v>0</v>
      </c>
      <c r="G303" s="27">
        <f>IFERROR(SUMIFS('🔢 Simulador'!$F$8:$F$19, '🔢 Simulador'!$E$8:$E$19, B303),0)</f>
        <v>0</v>
      </c>
      <c r="H303" s="28">
        <f t="shared" si="13"/>
        <v>0</v>
      </c>
    </row>
    <row r="304" spans="2:8" x14ac:dyDescent="0.2">
      <c r="B304" s="23">
        <v>299</v>
      </c>
      <c r="C304" s="24">
        <f t="shared" si="14"/>
        <v>0</v>
      </c>
      <c r="D304" s="24">
        <f>IF(C304&lt;=0.01,0,IF('🔢 Simulador'!C13="REDUCIR PLAZO",MIN('🔢 Simulador'!C10, C304*(1+'🔢 Simulador'!C9)),MIN(IFERROR(PMT('🔢 Simulador'!C9,'🔢 Simulador'!C8-298,-C304),0), C304*(1+'🔢 Simulador'!C9))))</f>
        <v>0</v>
      </c>
      <c r="E304" s="25">
        <f>IF(C304&lt;=0.01,0,C304*'🔢 Simulador'!$C$9)</f>
        <v>0</v>
      </c>
      <c r="F304" s="26">
        <f t="shared" si="12"/>
        <v>0</v>
      </c>
      <c r="G304" s="27">
        <f>IFERROR(SUMIFS('🔢 Simulador'!$F$8:$F$19, '🔢 Simulador'!$E$8:$E$19, B304),0)</f>
        <v>0</v>
      </c>
      <c r="H304" s="28">
        <f t="shared" si="13"/>
        <v>0</v>
      </c>
    </row>
    <row r="305" spans="2:8" x14ac:dyDescent="0.2">
      <c r="B305" s="23">
        <v>300</v>
      </c>
      <c r="C305" s="24">
        <f t="shared" si="14"/>
        <v>0</v>
      </c>
      <c r="D305" s="24">
        <f>IF(C305&lt;=0.01,0,IF('🔢 Simulador'!C13="REDUCIR PLAZO",MIN('🔢 Simulador'!C10, C305*(1+'🔢 Simulador'!C9)),MIN(IFERROR(PMT('🔢 Simulador'!C9,'🔢 Simulador'!C8-299,-C305),0), C305*(1+'🔢 Simulador'!C9))))</f>
        <v>0</v>
      </c>
      <c r="E305" s="25">
        <f>IF(C305&lt;=0.01,0,C305*'🔢 Simulador'!$C$9)</f>
        <v>0</v>
      </c>
      <c r="F305" s="26">
        <f t="shared" si="12"/>
        <v>0</v>
      </c>
      <c r="G305" s="27">
        <f>IFERROR(SUMIFS('🔢 Simulador'!$F$8:$F$19, '🔢 Simulador'!$E$8:$E$19, B305),0)</f>
        <v>0</v>
      </c>
      <c r="H305" s="28">
        <f t="shared" si="13"/>
        <v>0</v>
      </c>
    </row>
    <row r="307" spans="2:8" ht="15" customHeight="1" x14ac:dyDescent="0.2">
      <c r="B307" s="6" t="s">
        <v>18</v>
      </c>
      <c r="C307" s="6"/>
      <c r="D307" s="6"/>
      <c r="E307" s="6"/>
      <c r="F307" s="6"/>
      <c r="G307" s="6"/>
      <c r="H307" s="6"/>
    </row>
  </sheetData>
  <sheetProtection password="DEC2" sheet="1"/>
  <mergeCells count="3">
    <mergeCell ref="B2:H2"/>
    <mergeCell ref="B3:H3"/>
    <mergeCell ref="B307:H30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🏠 Inicio</vt:lpstr>
      <vt:lpstr>🔢 Simulador</vt:lpstr>
      <vt:lpstr>📅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Pack Office 1</cp:lastModifiedBy>
  <cp:revision>0</cp:revision>
  <dcterms:created xsi:type="dcterms:W3CDTF">2026-06-03T17:48:38Z</dcterms:created>
  <dcterms:modified xsi:type="dcterms:W3CDTF">2026-06-03T17:56:42Z</dcterms:modified>
  <dc:language>en-US</dc:language>
</cp:coreProperties>
</file>